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2\7 Julio\"/>
    </mc:Choice>
  </mc:AlternateContent>
  <xr:revisionPtr revIDLastSave="0" documentId="13_ncr:1_{4E4BCF70-4C16-4589-85BC-A94F3195D3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1" l="1"/>
  <c r="F57" i="1"/>
  <c r="H57" i="1"/>
  <c r="E57" i="1"/>
  <c r="F1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G43" i="1" l="1"/>
  <c r="U61" i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G12" i="1" l="1"/>
  <c r="G13" i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<sst xmlns="http://schemas.openxmlformats.org/spreadsheetml/2006/main" count="308" uniqueCount="132">
  <si>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</si>
  <si>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</si>
  <si>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</si>
  <si>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</si>
  <si>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</si>
  <si>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</si>
  <si>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</si>
  <si>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</si>
  <si>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</si>
  <si>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</si>
  <si>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</si>
  <si>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</si>
  <si>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</si>
  <si>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</si>
  <si>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</si>
  <si>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</si>
  <si>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</si>
  <si>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</si>
  <si>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</si>
  <si>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</si>
  <si>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</si>
  <si>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</si>
  <si>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</si>
  <si>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</si>
  <si>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</si>
  <si>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</si>
  <si>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</si>
  <si>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</si>
  <si>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</si>
  <si>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</si>
  <si>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</si>
  <si>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</si>
  <si>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</si>
  <si>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</si>
  <si>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</si>
  <si>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</si>
  <si>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</si>
  <si>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</si>
  <si>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</si>
  <si>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</si>
  <si>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</si>
  <si>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</si>
  <si>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</si>
  <si>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</si>
  <si>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</si>
  <si>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</si>
  <si>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</si>
  <si>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</si>
  <si>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</si>
  <si>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</si>
  <si>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</si>
  <si>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</si>
  <si>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</si>
  <si>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</si>
  <si>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</si>
  <si>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</si>
  <si>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</si>
  <si>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</si>
  <si>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</si>
  <si>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</si>
  <si>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</si>
  <si>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</si>
  <si>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</si>
  <si>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</si>
  <si>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</si>
  <si>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</si>
  <si>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</si>
  <si>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</si>
  <si>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</si>
  <si>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</si>
  <si>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</si>
  <si>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</si>
  <si>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</si>
  <si>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</si>
  <si>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</si>
  <si>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</si>
  <si>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</si>
  <si>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</si>
  <si>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</si>
  <si>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</si>
  <si>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</si>
  <si>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</si>
  <si>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</si>
  <si>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</si>
  <si>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</si>
  <si>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</si>
  <si>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</si>
  <si>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</si>
  <si>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</si>
  <si>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</si>
  <si>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</si>
  <si>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</si>
  <si>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</si>
  <si>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</si>
  <si>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</si>
  <si>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</si>
  <si>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</si>
  <si>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</si>
  <si>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</si>
  <si>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</si>
  <si>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</si>
  <si>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</si>
  <si>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</si>
  <si>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</si>
  <si>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</si>
  <si>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</si>
  <si>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</si>
  <si>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</si>
  <si>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</si>
  <si>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</si>
  <si>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</si>
  <si>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</si>
  <si>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</si>
  <si>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</si>
  <si>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</si>
  <si>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</si>
  <si>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</si>
  <si>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</si>
  <si>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</si>
  <si>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</si>
  <si>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</si>
  <si>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</si>
  <si>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</si>
  <si>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</si>
  <si>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</si>
  <si>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1. RESUMEN NACIONAL AL MES DE JUNIO 2022</t>
  </si>
  <si>
    <t>Junio</t>
  </si>
  <si>
    <t>Enero - Junio</t>
  </si>
  <si>
    <t>Grafico N° 11: Generación de energía eléctrica por Región, al mes de junio 2022</t>
  </si>
  <si>
    <t>Cuadro N° 8: Producción de energía eléctrica nacional por zona del país, al mes de junio</t>
  </si>
  <si>
    <t>3.2 Producción de energía eléctrica (GWh) por origen y zona al mes de junio 2022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</si>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</sst>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96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on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ont="1" applyFill="1" applyBorder="1" applyAlignment="1">
      <alignment horizontal="center"/>
    </xf>
    <xf numFmtId="3" fontId="0" fillId="71" borderId="90" xfId="0" applyNumberFormat="1" applyFont="1" applyFill="1" applyBorder="1"/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0" fontId="0" fillId="71" borderId="93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5" xfId="0" applyFont="1" applyFill="1" applyBorder="1"/>
    <xf numFmtId="3" fontId="0" fillId="68" borderId="85" xfId="0" applyNumberFormat="1" applyFont="1" applyFill="1" applyBorder="1" applyAlignment="1">
      <alignment vertical="center"/>
    </xf>
    <xf numFmtId="3" fontId="0" fillId="68" borderId="81" xfId="0" applyNumberFormat="1" applyFon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3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NumberFormat="1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4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5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178" fontId="76" fillId="0" borderId="73" xfId="33743" applyNumberFormat="1" applyFont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167" fontId="0" fillId="68" borderId="62" xfId="0" applyNumberFormat="1" applyFill="1" applyBorder="1" applyAlignment="1">
      <alignment horizontal="center" vertical="center"/>
    </xf>
    <xf numFmtId="0" fontId="3" fillId="69" borderId="118" xfId="0" applyFont="1" applyFill="1" applyBorder="1" applyAlignment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182" fontId="35" fillId="68" borderId="22" xfId="33743" applyNumberFormat="1" applyFont="1" applyFill="1" applyBorder="1" applyAlignment="1">
      <alignment horizontal="center" vertical="center"/>
    </xf>
    <xf numFmtId="167" fontId="0" fillId="68" borderId="84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99" fillId="0" borderId="85" xfId="0" applyNumberFormat="1" applyFont="1" applyBorder="1"/>
    <xf numFmtId="167" fontId="0" fillId="68" borderId="83" xfId="0" applyNumberFormat="1" applyFont="1" applyFill="1" applyBorder="1" applyAlignment="1">
      <alignment vertical="center"/>
    </xf>
    <xf numFmtId="167" fontId="0" fillId="68" borderId="63" xfId="0" applyNumberFormat="1" applyFont="1" applyFill="1" applyBorder="1" applyAlignment="1">
      <alignment vertical="center"/>
    </xf>
    <xf numFmtId="167" fontId="99" fillId="0" borderId="28" xfId="0" applyNumberFormat="1" applyFont="1" applyBorder="1"/>
    <xf numFmtId="167" fontId="99" fillId="0" borderId="60" xfId="0" applyNumberFormat="1" applyFont="1" applyBorder="1"/>
    <xf numFmtId="9" fontId="96" fillId="0" borderId="32" xfId="33743" applyNumberFormat="1" applyFont="1" applyBorder="1" applyAlignment="1">
      <alignment horizontal="center"/>
    </xf>
    <xf numFmtId="3" fontId="0" fillId="68" borderId="113" xfId="0" applyNumberFormat="1" applyFill="1" applyBorder="1"/>
    <xf numFmtId="167" fontId="0" fillId="68" borderId="27" xfId="0" applyNumberFormat="1" applyFont="1" applyFill="1" applyBorder="1" applyAlignment="1">
      <alignment vertic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Junio 2022</a:t>
            </a:r>
          </a:p>
          <a:p>
            <a:pPr>
              <a:defRPr sz="800" b="1"/>
            </a:pPr>
            <a:r>
              <a:rPr lang="es-PE" sz="800" b="1"/>
              <a:t>Total : 4 834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49.067516370106219</c:v>
                </c:pt>
                <c:pt idx="1">
                  <c:v>99.621927175670194</c:v>
                </c:pt>
                <c:pt idx="2">
                  <c:v>2260.3330555544117</c:v>
                </c:pt>
                <c:pt idx="3">
                  <c:v>2213.7665618532696</c:v>
                </c:pt>
                <c:pt idx="4">
                  <c:v>210.91715451499991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1878.035711504398</c:v>
                </c:pt>
                <c:pt idx="2" formatCode="_ * #,##0.00_ ;_ * \-#,##0.00_ ;_ * &quot;-&quot;??_ ;_ @_ ">
                  <c:v>6.4619999999999999E-3</c:v>
                </c:pt>
                <c:pt idx="3">
                  <c:v>2042.380965812248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59.178779272500009</c:v>
                </c:pt>
                <c:pt idx="1">
                  <c:v>297.40000562474864</c:v>
                </c:pt>
                <c:pt idx="2">
                  <c:v>55.023898232499981</c:v>
                </c:pt>
                <c:pt idx="3">
                  <c:v>86.649944072061714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34.095515800000001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3920.423139316646</c:v>
                </c:pt>
                <c:pt idx="1">
                  <c:v>498.2526272018103</c:v>
                </c:pt>
                <c:pt idx="2">
                  <c:v>380.93493314999989</c:v>
                </c:pt>
                <c:pt idx="3">
                  <c:v>34.095515800000001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PIURA</c:v>
                </c:pt>
                <c:pt idx="6">
                  <c:v>CAJAMARCA</c:v>
                </c:pt>
                <c:pt idx="7">
                  <c:v>ANCASH</c:v>
                </c:pt>
                <c:pt idx="8">
                  <c:v>HUANUCO</c:v>
                </c:pt>
                <c:pt idx="9">
                  <c:v>ICA</c:v>
                </c:pt>
                <c:pt idx="10">
                  <c:v>LA LIBERTAD</c:v>
                </c:pt>
                <c:pt idx="11">
                  <c:v>AREQUIPA</c:v>
                </c:pt>
                <c:pt idx="12">
                  <c:v>PUNO</c:v>
                </c:pt>
                <c:pt idx="13">
                  <c:v>PASCO</c:v>
                </c:pt>
                <c:pt idx="14">
                  <c:v>MOQUEGUA</c:v>
                </c:pt>
                <c:pt idx="15">
                  <c:v>UCAYALI</c:v>
                </c:pt>
                <c:pt idx="16">
                  <c:v>LORETO</c:v>
                </c:pt>
                <c:pt idx="17">
                  <c:v>TACNA</c:v>
                </c:pt>
                <c:pt idx="18">
                  <c:v>LAMBAYEQUE</c:v>
                </c:pt>
                <c:pt idx="19">
                  <c:v>SAN MARTÍN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2194.4823089524784</c:v>
                </c:pt>
                <c:pt idx="1">
                  <c:v>801.42975188000059</c:v>
                </c:pt>
                <c:pt idx="2">
                  <c:v>327.91298480250009</c:v>
                </c:pt>
                <c:pt idx="3">
                  <c:v>252.28472775999981</c:v>
                </c:pt>
                <c:pt idx="4">
                  <c:v>182.80663609250001</c:v>
                </c:pt>
                <c:pt idx="5">
                  <c:v>143.95767124499994</c:v>
                </c:pt>
                <c:pt idx="6">
                  <c:v>127.48188497499999</c:v>
                </c:pt>
                <c:pt idx="7">
                  <c:v>123.05841727250008</c:v>
                </c:pt>
                <c:pt idx="8">
                  <c:v>122.97127124916673</c:v>
                </c:pt>
                <c:pt idx="9">
                  <c:v>96.389676245000018</c:v>
                </c:pt>
                <c:pt idx="10">
                  <c:v>95.210006849999971</c:v>
                </c:pt>
                <c:pt idx="11">
                  <c:v>88.936279127499944</c:v>
                </c:pt>
                <c:pt idx="12">
                  <c:v>63.22945331999999</c:v>
                </c:pt>
                <c:pt idx="13">
                  <c:v>62.895434115000008</c:v>
                </c:pt>
                <c:pt idx="14">
                  <c:v>51.319964648476947</c:v>
                </c:pt>
                <c:pt idx="15">
                  <c:v>35.388243284999994</c:v>
                </c:pt>
                <c:pt idx="16">
                  <c:v>34.095515800000001</c:v>
                </c:pt>
                <c:pt idx="17">
                  <c:v>10.212719679999998</c:v>
                </c:pt>
                <c:pt idx="18">
                  <c:v>5.0828975800000009</c:v>
                </c:pt>
                <c:pt idx="19">
                  <c:v>4.9960085000000003</c:v>
                </c:pt>
                <c:pt idx="20">
                  <c:v>4.3523930629999992</c:v>
                </c:pt>
                <c:pt idx="21">
                  <c:v>3.1059160000000001</c:v>
                </c:pt>
                <c:pt idx="22">
                  <c:v>1.1005480000000001</c:v>
                </c:pt>
                <c:pt idx="23">
                  <c:v>0.90845353333333345</c:v>
                </c:pt>
                <c:pt idx="24">
                  <c:v>9.7051492000000017E-2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2258.3322079999994</c:v>
                </c:pt>
                <c:pt idx="1">
                  <c:v>2251.9786469801393</c:v>
                </c:pt>
                <c:pt idx="2">
                  <c:v>134.65285399999999</c:v>
                </c:pt>
                <c:pt idx="3">
                  <c:v>54.277576000000003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2309.4005719245179</c:v>
                </c:pt>
                <c:pt idx="1">
                  <c:v>2313.3884890289401</c:v>
                </c:pt>
                <c:pt idx="2">
                  <c:v>155.89325628249992</c:v>
                </c:pt>
                <c:pt idx="3">
                  <c:v>55.023898232499981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138.92353598013929</c:v>
                </c:pt>
                <c:pt idx="1">
                  <c:v>139.46173078878743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4560.3177489999989</c:v>
                </c:pt>
                <c:pt idx="1">
                  <c:v>4694.2444846796707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2094.0088245124994</c:v>
                </c:pt>
                <c:pt idx="1">
                  <c:v>2160.6481152295178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2204.5617889801392</c:v>
                </c:pt>
                <c:pt idx="1">
                  <c:v>2272.4681056511772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164.32338348749994</c:v>
                </c:pt>
                <c:pt idx="1">
                  <c:v>148.75245669499989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236.34728799999999</c:v>
                </c:pt>
                <c:pt idx="1">
                  <c:v>251.83753789276261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2309.4005719245179</c:v>
                </c:pt>
                <c:pt idx="1">
                  <c:v>2091.8310077785245</c:v>
                </c:pt>
                <c:pt idx="2">
                  <c:v>180.52040042426506</c:v>
                </c:pt>
                <c:pt idx="3">
                  <c:v>40.920383377762704</c:v>
                </c:pt>
                <c:pt idx="4">
                  <c:v>155.89325628249992</c:v>
                </c:pt>
                <c:pt idx="5">
                  <c:v>55.023898232499981</c:v>
                </c:pt>
                <c:pt idx="6" formatCode="#,##0.0">
                  <c:v>0.11669744838772365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4462.8939969801386</c:v>
                </c:pt>
                <c:pt idx="1">
                  <c:v>4581.8686775756951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236.34728799999999</c:v>
                </c:pt>
                <c:pt idx="1">
                  <c:v>251.83753789276261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771312368755E-2"/>
                  <c:y val="-3.0347747344302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30296600483626E-2"/>
                  <c:y val="-1.146628322825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5.0294776042979654E-2</c:v>
                </c:pt>
                <c:pt idx="1">
                  <c:v>5.2100298749405034E-2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4.5219125990374726E-2"/>
                  <c:y val="-0.10740094435375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2.0400770227834382E-2"/>
                  <c:y val="0.323573055257170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2258.3322079999994</c:v>
                </c:pt>
                <c:pt idx="1">
                  <c:v>2128.7463600000001</c:v>
                </c:pt>
                <c:pt idx="2">
                  <c:v>75.578867980139876</c:v>
                </c:pt>
                <c:pt idx="3" formatCode="#,##0.00">
                  <c:v>0.23656099999999999</c:v>
                </c:pt>
                <c:pt idx="4">
                  <c:v>47.416857999999991</c:v>
                </c:pt>
                <c:pt idx="5">
                  <c:v>134.65285399999999</c:v>
                </c:pt>
                <c:pt idx="6">
                  <c:v>54.277576000000003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3.3952764182478223E-2"/>
                  <c:y val="-0.10838367701663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4.7784451713007749E-2"/>
                  <c:y val="0.30234888436847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8.5977877041062648E-2"/>
                  <c:y val="-7.183293516674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2309.4005719245179</c:v>
                </c:pt>
                <c:pt idx="1">
                  <c:v>2091.8310077785245</c:v>
                </c:pt>
                <c:pt idx="2">
                  <c:v>180.52040042426506</c:v>
                </c:pt>
                <c:pt idx="3" formatCode="#,##0.00">
                  <c:v>0.11669744838772365</c:v>
                </c:pt>
                <c:pt idx="4">
                  <c:v>40.920383377762704</c:v>
                </c:pt>
                <c:pt idx="5">
                  <c:v>155.89325628249992</c:v>
                </c:pt>
                <c:pt idx="6">
                  <c:v>55.023898232499981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96.714477009999911</c:v>
                </c:pt>
                <c:pt idx="1">
                  <c:v>133.96485479537156</c:v>
                </c:pt>
                <c:pt idx="2">
                  <c:v>0</c:v>
                </c:pt>
                <c:pt idx="3">
                  <c:v>150.25560134462842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junio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61354" y="953714"/>
          <a:ext cx="6866292" cy="239879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3948" y="3313521"/>
          <a:ext cx="4118827" cy="5701542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topLeftCell="B1" zoomScaleNormal="120" zoomScaleSheetLayoutView="100" workbookViewId="0">
      <selection activeCell="B4" sqref="B4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27"/>
      <c r="D8" s="127"/>
      <c r="E8" s="127"/>
      <c r="F8" s="127"/>
      <c r="G8" s="127"/>
      <c r="H8" s="9"/>
      <c r="I8" s="9"/>
      <c r="J8" s="9"/>
      <c r="K8" s="9"/>
    </row>
    <row r="9" spans="2:19" s="1" customFormat="1" ht="26.4">
      <c r="B9" s="8"/>
      <c r="C9" s="177" t="s">
        <v>62</v>
      </c>
      <c r="D9" s="178" t="s">
        <v>69</v>
      </c>
      <c r="E9" s="179" t="s">
        <v>70</v>
      </c>
      <c r="F9" s="180" t="s">
        <v>71</v>
      </c>
      <c r="G9" s="181" t="s">
        <v>72</v>
      </c>
      <c r="H9" s="9"/>
      <c r="I9" s="9"/>
      <c r="J9" s="9"/>
      <c r="K9" s="9"/>
    </row>
    <row r="10" spans="2:19" s="1" customFormat="1" ht="13.8" thickBot="1">
      <c r="B10" s="8"/>
      <c r="C10" s="182" t="s">
        <v>63</v>
      </c>
      <c r="D10" s="183"/>
      <c r="E10" s="184"/>
      <c r="F10" s="185"/>
      <c r="G10" s="186"/>
      <c r="H10" s="9"/>
      <c r="I10" s="9"/>
      <c r="J10" s="9"/>
      <c r="K10" s="9"/>
    </row>
    <row r="11" spans="2:19" s="1" customFormat="1" ht="13.8" thickTop="1">
      <c r="B11" s="8"/>
      <c r="C11" s="128"/>
      <c r="D11" s="129"/>
      <c r="E11" s="130"/>
      <c r="F11" s="131"/>
      <c r="G11" s="132"/>
      <c r="H11" s="9"/>
      <c r="I11" s="9"/>
      <c r="J11" s="9"/>
      <c r="K11" s="9"/>
      <c r="Q11" s="370" t="s">
        <v>64</v>
      </c>
      <c r="R11" s="142" t="s">
        <v>41</v>
      </c>
      <c r="S11" s="143">
        <f>E12</f>
        <v>49.067516370106219</v>
      </c>
    </row>
    <row r="12" spans="2:19" s="1" customFormat="1">
      <c r="B12" s="8"/>
      <c r="C12" s="133" t="s">
        <v>66</v>
      </c>
      <c r="D12" s="134">
        <v>2260.3330555544117</v>
      </c>
      <c r="E12" s="135">
        <v>49.067516370106219</v>
      </c>
      <c r="F12" s="136">
        <f>SUM(D12:E12)</f>
        <v>2309.4005719245179</v>
      </c>
      <c r="G12" s="327">
        <f>(F12/F$16)</f>
        <v>0.47777015585559385</v>
      </c>
      <c r="H12" s="9"/>
      <c r="I12" s="9"/>
      <c r="J12" s="9"/>
      <c r="K12" s="9"/>
      <c r="Q12" s="370"/>
      <c r="R12" s="142" t="s">
        <v>73</v>
      </c>
      <c r="S12" s="143">
        <f>E13</f>
        <v>99.621927175670194</v>
      </c>
    </row>
    <row r="13" spans="2:19" s="1" customFormat="1">
      <c r="B13" s="8"/>
      <c r="C13" s="133" t="s">
        <v>65</v>
      </c>
      <c r="D13" s="134">
        <v>2213.7665618532696</v>
      </c>
      <c r="E13" s="135">
        <v>99.621927175670194</v>
      </c>
      <c r="F13" s="136">
        <f>SUM(D13:E13)</f>
        <v>2313.3884890289401</v>
      </c>
      <c r="G13" s="327">
        <f>(F13/F$16)</f>
        <v>0.47859517850419014</v>
      </c>
      <c r="H13" s="9"/>
      <c r="I13" s="9"/>
      <c r="J13" s="9"/>
      <c r="K13" s="9"/>
      <c r="Q13" s="370" t="s">
        <v>88</v>
      </c>
      <c r="R13" s="142" t="s">
        <v>41</v>
      </c>
      <c r="S13" s="143">
        <f>D12</f>
        <v>2260.3330555544117</v>
      </c>
    </row>
    <row r="14" spans="2:19" s="1" customFormat="1">
      <c r="B14" s="8"/>
      <c r="C14" s="133" t="s">
        <v>67</v>
      </c>
      <c r="D14" s="134">
        <v>155.89325628249992</v>
      </c>
      <c r="E14" s="137"/>
      <c r="F14" s="136">
        <f>SUM(D14:E14)</f>
        <v>155.89325628249992</v>
      </c>
      <c r="G14" s="327">
        <f>(F14/F$16)</f>
        <v>3.2251289038548146E-2</v>
      </c>
      <c r="H14" s="9"/>
      <c r="I14" s="9"/>
      <c r="J14" s="9"/>
      <c r="K14" s="9"/>
      <c r="Q14" s="370"/>
      <c r="R14" s="142" t="s">
        <v>73</v>
      </c>
      <c r="S14" s="143">
        <f>D13</f>
        <v>2213.7665618532696</v>
      </c>
    </row>
    <row r="15" spans="2:19" s="1" customFormat="1" ht="13.8" thickBot="1">
      <c r="B15" s="8"/>
      <c r="C15" s="138" t="s">
        <v>5</v>
      </c>
      <c r="D15" s="139">
        <v>55.023898232499981</v>
      </c>
      <c r="E15" s="140"/>
      <c r="F15" s="141">
        <f>SUM(D15:E15)</f>
        <v>55.023898232499981</v>
      </c>
      <c r="G15" s="328">
        <f>(F15/F$16)</f>
        <v>1.1383376601667826E-2</v>
      </c>
      <c r="H15" s="9"/>
      <c r="I15" s="9"/>
      <c r="J15" s="9"/>
      <c r="K15" s="9"/>
      <c r="Q15" s="370"/>
      <c r="R15" s="142" t="s">
        <v>87</v>
      </c>
      <c r="S15" s="143">
        <f>SUM(D14:D15)</f>
        <v>210.91715451499991</v>
      </c>
    </row>
    <row r="16" spans="2:19" s="1" customFormat="1" ht="13.8" thickTop="1">
      <c r="B16" s="8"/>
      <c r="C16" s="241" t="s">
        <v>71</v>
      </c>
      <c r="D16" s="242">
        <f>SUM(D12:D15)</f>
        <v>4685.0167719226811</v>
      </c>
      <c r="E16" s="243">
        <f>SUM(E12:E15)</f>
        <v>148.68944354577641</v>
      </c>
      <c r="F16" s="244">
        <f>SUM(F12:F15)</f>
        <v>4833.7062154684581</v>
      </c>
      <c r="G16" s="245"/>
      <c r="H16" s="9"/>
      <c r="I16" s="9"/>
      <c r="J16" s="9"/>
      <c r="K16" s="9"/>
    </row>
    <row r="17" spans="2:19" s="1" customFormat="1">
      <c r="B17" s="8"/>
      <c r="C17" s="246" t="s">
        <v>109</v>
      </c>
      <c r="D17" s="309">
        <f>D16/F16</f>
        <v>0.96923903999999994</v>
      </c>
      <c r="E17" s="310">
        <f>E16/F16</f>
        <v>3.0760959999999955E-2</v>
      </c>
      <c r="F17" s="247"/>
      <c r="G17" s="248"/>
      <c r="H17" s="9"/>
      <c r="I17" s="9"/>
      <c r="J17" s="9"/>
      <c r="K17" s="9"/>
    </row>
    <row r="18" spans="2:19" s="1" customFormat="1">
      <c r="B18" s="8"/>
      <c r="C18" s="128"/>
      <c r="D18" s="128"/>
      <c r="E18" s="128"/>
      <c r="F18" s="128"/>
      <c r="G18" s="128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28"/>
      <c r="D22" s="128"/>
      <c r="E22" s="128"/>
      <c r="F22" s="128"/>
      <c r="G22" s="128"/>
      <c r="H22" s="127"/>
      <c r="I22" s="127"/>
      <c r="J22" s="127"/>
      <c r="K22" s="9"/>
    </row>
    <row r="23" spans="2:19" s="1" customFormat="1" ht="12.75" customHeight="1">
      <c r="B23" s="8"/>
      <c r="C23" s="377" t="s">
        <v>112</v>
      </c>
      <c r="D23" s="378"/>
      <c r="E23" s="371" t="s">
        <v>126</v>
      </c>
      <c r="F23" s="372"/>
      <c r="G23" s="147" t="s">
        <v>74</v>
      </c>
      <c r="H23" s="375" t="s">
        <v>127</v>
      </c>
      <c r="I23" s="376"/>
      <c r="J23" s="147" t="s">
        <v>74</v>
      </c>
      <c r="K23" s="9"/>
      <c r="Q23" s="142"/>
      <c r="R23" s="142">
        <v>2021</v>
      </c>
      <c r="S23" s="142">
        <v>2022</v>
      </c>
    </row>
    <row r="24" spans="2:19" s="1" customFormat="1" ht="12.75" customHeight="1">
      <c r="B24" s="8"/>
      <c r="C24" s="148"/>
      <c r="D24" s="149"/>
      <c r="E24" s="150">
        <v>2021</v>
      </c>
      <c r="F24" s="151">
        <v>2022</v>
      </c>
      <c r="G24" s="152"/>
      <c r="H24" s="231">
        <v>2021</v>
      </c>
      <c r="I24" s="151">
        <v>2022</v>
      </c>
      <c r="J24" s="152"/>
      <c r="K24" s="9"/>
      <c r="Q24" s="142" t="s">
        <v>76</v>
      </c>
      <c r="R24" s="143">
        <f>E29</f>
        <v>138.92353598013929</v>
      </c>
      <c r="S24" s="143">
        <f>F29</f>
        <v>139.46173078878743</v>
      </c>
    </row>
    <row r="25" spans="2:19" s="1" customFormat="1">
      <c r="B25" s="8"/>
      <c r="C25" s="366" t="s">
        <v>0</v>
      </c>
      <c r="D25" s="367"/>
      <c r="E25" s="187">
        <f>SUM(E26:E28)</f>
        <v>4560.3177489999989</v>
      </c>
      <c r="F25" s="188">
        <f>SUM(F26:F28)</f>
        <v>4694.2444846796707</v>
      </c>
      <c r="G25" s="189">
        <f>((F25/E25)-1)</f>
        <v>2.9367851770644604E-2</v>
      </c>
      <c r="H25" s="232">
        <f>SUM(H26:H28)</f>
        <v>27472.494749999998</v>
      </c>
      <c r="I25" s="188">
        <f>SUM(I26:I28)</f>
        <v>28276.462477327175</v>
      </c>
      <c r="J25" s="189">
        <f>((I25/H25)-1)</f>
        <v>2.9264460131607661E-2</v>
      </c>
      <c r="K25" s="9"/>
      <c r="Q25" s="142" t="s">
        <v>0</v>
      </c>
      <c r="R25" s="143">
        <f>E25</f>
        <v>4560.3177489999989</v>
      </c>
      <c r="S25" s="143">
        <f>F25</f>
        <v>4694.2444846796707</v>
      </c>
    </row>
    <row r="26" spans="2:19" s="1" customFormat="1">
      <c r="B26" s="8"/>
      <c r="C26" s="261" t="s">
        <v>62</v>
      </c>
      <c r="D26" s="270" t="s">
        <v>102</v>
      </c>
      <c r="E26" s="154">
        <v>4438.829741999999</v>
      </c>
      <c r="F26" s="155">
        <v>4544.4662687650007</v>
      </c>
      <c r="G26" s="273">
        <f t="shared" ref="G26:G32" si="0">((F26/E26)-1)</f>
        <v>2.3798283084722538E-2</v>
      </c>
      <c r="H26" s="233">
        <v>26652.084451999999</v>
      </c>
      <c r="I26" s="155">
        <v>27294.220750397504</v>
      </c>
      <c r="J26" s="156">
        <f t="shared" ref="J26:J32" si="1">((I26/H26)-1)</f>
        <v>2.4093286195081109E-2</v>
      </c>
      <c r="K26" s="9"/>
    </row>
    <row r="27" spans="2:19" s="1" customFormat="1">
      <c r="B27" s="8"/>
      <c r="C27" s="262" t="s">
        <v>106</v>
      </c>
      <c r="D27" s="271" t="s">
        <v>77</v>
      </c>
      <c r="E27" s="264">
        <v>79.320863000000017</v>
      </c>
      <c r="F27" s="265">
        <v>104.78713495554948</v>
      </c>
      <c r="G27" s="274">
        <f t="shared" si="0"/>
        <v>0.32105389417598063</v>
      </c>
      <c r="H27" s="266">
        <v>555.25546899999995</v>
      </c>
      <c r="I27" s="265">
        <v>692.9591415705496</v>
      </c>
      <c r="J27" s="274">
        <f t="shared" si="1"/>
        <v>0.24800056957304761</v>
      </c>
      <c r="K27" s="9"/>
    </row>
    <row r="28" spans="2:19" s="1" customFormat="1">
      <c r="B28" s="8"/>
      <c r="C28" s="263" t="s">
        <v>64</v>
      </c>
      <c r="D28" s="272" t="s">
        <v>77</v>
      </c>
      <c r="E28" s="154">
        <v>42.167143999999993</v>
      </c>
      <c r="F28" s="155">
        <v>44.99108095912036</v>
      </c>
      <c r="G28" s="273">
        <f t="shared" si="0"/>
        <v>6.6970078863305638E-2</v>
      </c>
      <c r="H28" s="233">
        <v>265.15482899999995</v>
      </c>
      <c r="I28" s="155">
        <v>289.28258535912033</v>
      </c>
      <c r="J28" s="273">
        <f t="shared" si="1"/>
        <v>9.0994972447288047E-2</v>
      </c>
      <c r="K28" s="9"/>
    </row>
    <row r="29" spans="2:19" s="1" customFormat="1">
      <c r="B29" s="8"/>
      <c r="C29" s="366" t="s">
        <v>76</v>
      </c>
      <c r="D29" s="367"/>
      <c r="E29" s="187">
        <f>SUM(E30:E31)</f>
        <v>138.92353598013929</v>
      </c>
      <c r="F29" s="188">
        <f>SUM(F30:F31)</f>
        <v>139.46173078878743</v>
      </c>
      <c r="G29" s="189">
        <f t="shared" si="0"/>
        <v>3.8740362088471869E-3</v>
      </c>
      <c r="H29" s="232">
        <f>SUM(H30:H31)</f>
        <v>919.78244588083555</v>
      </c>
      <c r="I29" s="188">
        <f>SUM(I30:I31)</f>
        <v>929.80320759880271</v>
      </c>
      <c r="J29" s="189">
        <f t="shared" si="1"/>
        <v>1.0894708594237912E-2</v>
      </c>
      <c r="K29" s="9"/>
      <c r="Q29" s="142"/>
      <c r="R29" s="142"/>
      <c r="S29" s="142"/>
    </row>
    <row r="30" spans="2:19" s="1" customFormat="1">
      <c r="B30" s="8"/>
      <c r="C30" s="267" t="s">
        <v>68</v>
      </c>
      <c r="D30" s="149"/>
      <c r="E30" s="154">
        <v>39.382432999999999</v>
      </c>
      <c r="F30" s="155">
        <v>35.763368202131375</v>
      </c>
      <c r="G30" s="273">
        <f t="shared" si="0"/>
        <v>-9.1895409251851579E-2</v>
      </c>
      <c r="H30" s="233">
        <v>233.77126199999998</v>
      </c>
      <c r="I30" s="155">
        <v>240.34609020213136</v>
      </c>
      <c r="J30" s="273">
        <f t="shared" si="1"/>
        <v>2.8125049015355064E-2</v>
      </c>
      <c r="K30" s="9"/>
    </row>
    <row r="31" spans="2:19" s="1" customFormat="1" ht="13.8" thickBot="1">
      <c r="B31" s="8"/>
      <c r="C31" s="268" t="s">
        <v>64</v>
      </c>
      <c r="D31" s="269"/>
      <c r="E31" s="158">
        <v>99.5411029801393</v>
      </c>
      <c r="F31" s="159">
        <v>103.69836258665606</v>
      </c>
      <c r="G31" s="293">
        <f t="shared" si="0"/>
        <v>4.176425096822789E-2</v>
      </c>
      <c r="H31" s="234">
        <v>686.01118388083557</v>
      </c>
      <c r="I31" s="159">
        <v>689.45711739667138</v>
      </c>
      <c r="J31" s="293">
        <f t="shared" si="1"/>
        <v>5.0231448069721907E-3</v>
      </c>
      <c r="K31" s="9"/>
    </row>
    <row r="32" spans="2:19" s="1" customFormat="1" ht="14.4" thickTop="1" thickBot="1">
      <c r="B32" s="8"/>
      <c r="C32" s="361" t="s">
        <v>108</v>
      </c>
      <c r="D32" s="362"/>
      <c r="E32" s="190">
        <f>SUM(E25,E29)</f>
        <v>4699.2412849801385</v>
      </c>
      <c r="F32" s="191">
        <f>SUM(F25,F29)</f>
        <v>4833.7062154684581</v>
      </c>
      <c r="G32" s="192">
        <f t="shared" si="0"/>
        <v>2.8614178828846315E-2</v>
      </c>
      <c r="H32" s="235">
        <f>SUM(H25,H29)</f>
        <v>28392.277195880833</v>
      </c>
      <c r="I32" s="191">
        <f>SUM(I25,I29)</f>
        <v>29206.265684925977</v>
      </c>
      <c r="J32" s="192">
        <f t="shared" si="1"/>
        <v>2.8669362567481427E-2</v>
      </c>
      <c r="K32" s="9"/>
    </row>
    <row r="33" spans="2:19" s="1" customFormat="1">
      <c r="B33" s="8"/>
      <c r="C33" s="304" t="s">
        <v>103</v>
      </c>
      <c r="D33" s="161"/>
      <c r="E33" s="161"/>
      <c r="F33" s="162"/>
      <c r="G33" s="127"/>
      <c r="H33" s="161"/>
      <c r="I33" s="161"/>
      <c r="J33" s="127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120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5"/>
      <c r="D38" s="146"/>
      <c r="E38" s="371" t="s">
        <v>126</v>
      </c>
      <c r="F38" s="372"/>
      <c r="G38" s="373" t="s">
        <v>74</v>
      </c>
      <c r="H38" s="375" t="s">
        <v>127</v>
      </c>
      <c r="I38" s="376"/>
      <c r="J38" s="373" t="s">
        <v>74</v>
      </c>
      <c r="K38" s="9"/>
      <c r="Q38" s="142"/>
      <c r="R38" s="142">
        <v>2021</v>
      </c>
      <c r="S38" s="142">
        <v>2022</v>
      </c>
    </row>
    <row r="39" spans="2:19" s="1" customFormat="1" ht="12.75" customHeight="1">
      <c r="B39" s="8"/>
      <c r="C39" s="148" t="s">
        <v>75</v>
      </c>
      <c r="D39" s="149"/>
      <c r="E39" s="150">
        <v>2021</v>
      </c>
      <c r="F39" s="151">
        <v>2022</v>
      </c>
      <c r="G39" s="374"/>
      <c r="H39" s="231">
        <v>2021</v>
      </c>
      <c r="I39" s="151">
        <v>2022</v>
      </c>
      <c r="J39" s="374"/>
      <c r="K39" s="9"/>
      <c r="Q39" s="142" t="s">
        <v>66</v>
      </c>
      <c r="R39" s="143">
        <f>SUM(E41,E46)</f>
        <v>2258.3322079999994</v>
      </c>
      <c r="S39" s="143">
        <f>SUM(F41,F46)</f>
        <v>2309.4005719245179</v>
      </c>
    </row>
    <row r="40" spans="2:19" s="1" customFormat="1">
      <c r="B40" s="8"/>
      <c r="C40" s="366" t="s">
        <v>68</v>
      </c>
      <c r="D40" s="367"/>
      <c r="E40" s="187">
        <f>SUM(E41:E44)</f>
        <v>4557.5330379999996</v>
      </c>
      <c r="F40" s="188">
        <f>SUM(F41:F44)</f>
        <v>4685.0167719226811</v>
      </c>
      <c r="G40" s="189">
        <f>((F40/E40)-1)</f>
        <v>2.7972092107669155E-2</v>
      </c>
      <c r="H40" s="232">
        <f>SUM(H41:H44)</f>
        <v>27441.111182999997</v>
      </c>
      <c r="I40" s="188">
        <f>SUM(I41:I44)</f>
        <v>28227.525982170184</v>
      </c>
      <c r="J40" s="189">
        <f>((I40/H40)-1)</f>
        <v>2.8658270939748931E-2</v>
      </c>
      <c r="K40" s="9"/>
      <c r="Q40" s="142" t="s">
        <v>65</v>
      </c>
      <c r="R40" s="143">
        <f>SUM(E42,E47)</f>
        <v>2251.9786469801393</v>
      </c>
      <c r="S40" s="143">
        <f>SUM(F42,F47)</f>
        <v>2313.3884890289401</v>
      </c>
    </row>
    <row r="41" spans="2:19" s="1" customFormat="1">
      <c r="B41" s="8"/>
      <c r="C41" s="153" t="s">
        <v>66</v>
      </c>
      <c r="D41" s="128"/>
      <c r="E41" s="154">
        <v>2210.4018729999993</v>
      </c>
      <c r="F41" s="155">
        <f>D12</f>
        <v>2260.3330555544117</v>
      </c>
      <c r="G41" s="273">
        <f t="shared" ref="G41:G48" si="2">((F41/E41)-1)</f>
        <v>2.2589187588157866E-2</v>
      </c>
      <c r="H41" s="233">
        <v>17633.622687999996</v>
      </c>
      <c r="I41" s="155">
        <v>17288.323226046912</v>
      </c>
      <c r="J41" s="273">
        <f t="shared" ref="J41:J48" si="3">((I41/H41)-1)</f>
        <v>-1.9581878781384288E-2</v>
      </c>
      <c r="K41" s="9"/>
      <c r="Q41" s="142" t="s">
        <v>67</v>
      </c>
      <c r="R41" s="143">
        <f>E43</f>
        <v>134.65285399999999</v>
      </c>
      <c r="S41" s="143">
        <f>F43</f>
        <v>155.89325628249992</v>
      </c>
    </row>
    <row r="42" spans="2:19" s="1" customFormat="1">
      <c r="B42" s="8"/>
      <c r="C42" s="153" t="s">
        <v>65</v>
      </c>
      <c r="D42" s="128"/>
      <c r="E42" s="154">
        <v>2158.2007349999999</v>
      </c>
      <c r="F42" s="155">
        <f>D13</f>
        <v>2213.7665618532696</v>
      </c>
      <c r="G42" s="273">
        <f t="shared" si="2"/>
        <v>2.5746366383880392E-2</v>
      </c>
      <c r="H42" s="233">
        <v>8549.4788520000002</v>
      </c>
      <c r="I42" s="155">
        <v>9635.4673509532695</v>
      </c>
      <c r="J42" s="273">
        <f t="shared" si="3"/>
        <v>0.12702394119604388</v>
      </c>
      <c r="K42" s="9"/>
      <c r="Q42" s="142" t="s">
        <v>5</v>
      </c>
      <c r="R42" s="143">
        <f>E44</f>
        <v>54.277576000000003</v>
      </c>
      <c r="S42" s="143">
        <f>F44</f>
        <v>55.023898232499981</v>
      </c>
    </row>
    <row r="43" spans="2:19" s="1" customFormat="1">
      <c r="B43" s="8"/>
      <c r="C43" s="153" t="s">
        <v>67</v>
      </c>
      <c r="D43" s="128"/>
      <c r="E43" s="154">
        <v>134.65285399999999</v>
      </c>
      <c r="F43" s="155">
        <f>D14</f>
        <v>155.89325628249992</v>
      </c>
      <c r="G43" s="273">
        <f t="shared" si="2"/>
        <v>0.15774193900487199</v>
      </c>
      <c r="H43" s="233">
        <v>884.35092999999995</v>
      </c>
      <c r="I43" s="155">
        <v>923.86477556750015</v>
      </c>
      <c r="J43" s="273">
        <f t="shared" si="3"/>
        <v>4.4681182805450526E-2</v>
      </c>
      <c r="K43" s="9"/>
    </row>
    <row r="44" spans="2:19" s="1" customFormat="1">
      <c r="B44" s="8"/>
      <c r="C44" s="153" t="s">
        <v>5</v>
      </c>
      <c r="D44" s="128"/>
      <c r="E44" s="154">
        <v>54.277576000000003</v>
      </c>
      <c r="F44" s="155">
        <f>D15</f>
        <v>55.023898232499981</v>
      </c>
      <c r="G44" s="358">
        <f t="shared" si="2"/>
        <v>1.3750102482468662E-2</v>
      </c>
      <c r="H44" s="233">
        <v>373.65871300000003</v>
      </c>
      <c r="I44" s="155">
        <v>379.87062960249989</v>
      </c>
      <c r="J44" s="156">
        <f t="shared" si="3"/>
        <v>1.6624573136877041E-2</v>
      </c>
      <c r="K44" s="9"/>
      <c r="Q44" s="142"/>
      <c r="R44" s="142"/>
      <c r="S44" s="142"/>
    </row>
    <row r="45" spans="2:19" s="1" customFormat="1">
      <c r="B45" s="8"/>
      <c r="C45" s="366" t="s">
        <v>64</v>
      </c>
      <c r="D45" s="367"/>
      <c r="E45" s="187">
        <f>SUM(E46:E47)</f>
        <v>141.70824698013928</v>
      </c>
      <c r="F45" s="188">
        <f>SUM(F46:F47)</f>
        <v>148.68944354577641</v>
      </c>
      <c r="G45" s="189">
        <f t="shared" si="2"/>
        <v>4.9264575029395186E-2</v>
      </c>
      <c r="H45" s="232">
        <f>SUM(H46:H47)</f>
        <v>951.16601288083552</v>
      </c>
      <c r="I45" s="188">
        <f>SUM(I46:I47)</f>
        <v>978.73970275579154</v>
      </c>
      <c r="J45" s="189">
        <f t="shared" si="3"/>
        <v>2.89893556976899E-2</v>
      </c>
      <c r="K45" s="9"/>
    </row>
    <row r="46" spans="2:19" s="1" customFormat="1">
      <c r="B46" s="8"/>
      <c r="C46" s="153" t="s">
        <v>66</v>
      </c>
      <c r="D46" s="128"/>
      <c r="E46" s="154">
        <v>47.930334999999992</v>
      </c>
      <c r="F46" s="155">
        <f>E12</f>
        <v>49.067516370106219</v>
      </c>
      <c r="G46" s="156">
        <f t="shared" si="2"/>
        <v>2.3725712956235823E-2</v>
      </c>
      <c r="H46" s="233">
        <v>350.09862300000003</v>
      </c>
      <c r="I46" s="155">
        <v>335.260171729425</v>
      </c>
      <c r="J46" s="156">
        <f t="shared" si="3"/>
        <v>-4.2383632198904841E-2</v>
      </c>
      <c r="K46" s="9"/>
    </row>
    <row r="47" spans="2:19" s="1" customFormat="1" ht="13.8" thickBot="1">
      <c r="B47" s="8"/>
      <c r="C47" s="157" t="s">
        <v>65</v>
      </c>
      <c r="D47" s="128"/>
      <c r="E47" s="158">
        <v>93.777911980139294</v>
      </c>
      <c r="F47" s="159">
        <f>E13</f>
        <v>99.621927175670194</v>
      </c>
      <c r="G47" s="293">
        <f t="shared" si="2"/>
        <v>6.2317608401950553E-2</v>
      </c>
      <c r="H47" s="234">
        <v>601.06738988083555</v>
      </c>
      <c r="I47" s="159">
        <v>643.47953102636654</v>
      </c>
      <c r="J47" s="160">
        <f t="shared" si="3"/>
        <v>7.0561374414172429E-2</v>
      </c>
      <c r="K47" s="9"/>
    </row>
    <row r="48" spans="2:19" s="1" customFormat="1" ht="14.4" thickTop="1" thickBot="1">
      <c r="B48" s="8"/>
      <c r="C48" s="361" t="s">
        <v>108</v>
      </c>
      <c r="D48" s="362"/>
      <c r="E48" s="190">
        <f>SUM(E40,E45)</f>
        <v>4699.2412849801385</v>
      </c>
      <c r="F48" s="191">
        <f>SUM(F40,F45)</f>
        <v>4833.7062154684572</v>
      </c>
      <c r="G48" s="192">
        <f t="shared" si="2"/>
        <v>2.8614178828846315E-2</v>
      </c>
      <c r="H48" s="235">
        <f>SUM(H40,H45)</f>
        <v>28392.277195880833</v>
      </c>
      <c r="I48" s="191">
        <f>SUM(I40,I45)</f>
        <v>29206.265684925977</v>
      </c>
      <c r="J48" s="192">
        <f t="shared" si="3"/>
        <v>2.8669362567481427E-2</v>
      </c>
      <c r="K48" s="9"/>
    </row>
    <row r="49" spans="2:23" s="1" customFormat="1">
      <c r="B49" s="8"/>
      <c r="C49" s="259"/>
      <c r="D49" s="90"/>
      <c r="E49" s="91"/>
      <c r="F49" s="91"/>
      <c r="G49" s="93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3"/>
      <c r="H50" s="9"/>
      <c r="I50" s="9"/>
      <c r="J50" s="9"/>
      <c r="K50" s="9"/>
    </row>
    <row r="51" spans="2:23" s="1" customFormat="1">
      <c r="B51" s="8"/>
      <c r="C51" s="10" t="s">
        <v>119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4"/>
    </row>
    <row r="53" spans="2:23" s="1" customFormat="1" ht="13.8" thickBot="1">
      <c r="B53" s="8"/>
      <c r="C53" s="10"/>
      <c r="H53" s="9"/>
      <c r="I53" s="9"/>
      <c r="J53" s="9"/>
      <c r="K53" s="9"/>
      <c r="L53" s="254"/>
      <c r="M53" s="254"/>
    </row>
    <row r="54" spans="2:23" s="1" customFormat="1" ht="12.75" customHeight="1">
      <c r="B54" s="8"/>
      <c r="C54" s="145"/>
      <c r="D54" s="146"/>
      <c r="E54" s="371" t="s">
        <v>126</v>
      </c>
      <c r="F54" s="372"/>
      <c r="G54" s="373" t="s">
        <v>74</v>
      </c>
      <c r="H54" s="375" t="s">
        <v>127</v>
      </c>
      <c r="I54" s="376"/>
      <c r="J54" s="373" t="s">
        <v>74</v>
      </c>
      <c r="K54" s="9"/>
      <c r="L54" s="254"/>
      <c r="M54" s="254"/>
    </row>
    <row r="55" spans="2:23" s="1" customFormat="1" ht="12.75" customHeight="1">
      <c r="B55" s="8"/>
      <c r="C55" s="148" t="s">
        <v>75</v>
      </c>
      <c r="D55" s="149"/>
      <c r="E55" s="150">
        <v>2021</v>
      </c>
      <c r="F55" s="151">
        <v>2022</v>
      </c>
      <c r="G55" s="374"/>
      <c r="H55" s="231">
        <v>2021</v>
      </c>
      <c r="I55" s="151">
        <v>2022</v>
      </c>
      <c r="J55" s="374"/>
      <c r="K55" s="9"/>
      <c r="L55" s="254"/>
      <c r="M55" s="254"/>
    </row>
    <row r="56" spans="2:23" s="1" customFormat="1">
      <c r="B56" s="8"/>
      <c r="C56" s="366" t="s">
        <v>68</v>
      </c>
      <c r="D56" s="367"/>
      <c r="E56" s="187">
        <f>SUM(E57:E60)</f>
        <v>4557.5330379999996</v>
      </c>
      <c r="F56" s="188">
        <f>SUM(F57:F60)</f>
        <v>4685.0167719226811</v>
      </c>
      <c r="G56" s="189">
        <f>((F56/E56)-1)</f>
        <v>2.7972092107669155E-2</v>
      </c>
      <c r="H56" s="232">
        <f>SUM(H57:H60)</f>
        <v>27441.111182999997</v>
      </c>
      <c r="I56" s="188">
        <f>SUM(I57:I60)</f>
        <v>28227.525982170184</v>
      </c>
      <c r="J56" s="189">
        <f>((I56/H56)-1)</f>
        <v>2.8658270939748931E-2</v>
      </c>
      <c r="K56" s="9"/>
    </row>
    <row r="57" spans="2:23" s="1" customFormat="1" ht="26.4">
      <c r="B57" s="8"/>
      <c r="C57" s="364" t="s">
        <v>78</v>
      </c>
      <c r="D57" s="275" t="s">
        <v>79</v>
      </c>
      <c r="E57" s="317">
        <f>SUM(E43:E44)+33.762957</f>
        <v>222.693387</v>
      </c>
      <c r="F57" s="318">
        <f>SUM(F43:F44)+31.5641558194639</f>
        <v>242.48131033446381</v>
      </c>
      <c r="G57" s="167">
        <f t="shared" ref="G57:G65" si="4">((F57/E57)-1)</f>
        <v>8.8857256162994336E-2</v>
      </c>
      <c r="H57" s="319">
        <f>SUM(H43:H44)+153.782165</f>
        <v>1411.7918079999999</v>
      </c>
      <c r="I57" s="318">
        <f>SUM(I43:I44)+142.397136199464</f>
        <v>1446.132541369464</v>
      </c>
      <c r="J57" s="167">
        <f t="shared" ref="J57:J65" si="5">((I57/H57)-1)</f>
        <v>2.4324219176560025E-2</v>
      </c>
      <c r="K57" s="9"/>
      <c r="L57" s="254"/>
      <c r="Q57" s="142"/>
      <c r="R57" s="142"/>
      <c r="T57" s="142">
        <v>2021</v>
      </c>
      <c r="U57" s="142">
        <v>2022</v>
      </c>
      <c r="V57" s="142"/>
      <c r="W57" s="142"/>
    </row>
    <row r="58" spans="2:23" s="1" customFormat="1" ht="13.8">
      <c r="B58" s="8"/>
      <c r="C58" s="365"/>
      <c r="D58" s="276" t="s">
        <v>110</v>
      </c>
      <c r="E58" s="264">
        <v>164.32338348749994</v>
      </c>
      <c r="F58" s="322">
        <v>148.75245669499989</v>
      </c>
      <c r="G58" s="274">
        <f t="shared" si="4"/>
        <v>-9.4757827291722774E-2</v>
      </c>
      <c r="H58" s="266">
        <v>1355.7110774299999</v>
      </c>
      <c r="I58" s="265">
        <v>1270.9481021850006</v>
      </c>
      <c r="J58" s="274">
        <f t="shared" si="5"/>
        <v>-6.2522890500889883E-2</v>
      </c>
      <c r="K58" s="9"/>
      <c r="L58" s="254"/>
      <c r="M58" s="254"/>
      <c r="Q58" s="370" t="s">
        <v>80</v>
      </c>
      <c r="R58" s="142" t="s">
        <v>66</v>
      </c>
      <c r="T58" s="143">
        <f>SUM(E60,E64)</f>
        <v>2094.0088245124994</v>
      </c>
      <c r="U58" s="143">
        <f>SUM(F60,F64)</f>
        <v>2160.6481152295178</v>
      </c>
      <c r="V58" s="144">
        <f t="shared" ref="V58:W61" si="6">T58/T$64</f>
        <v>0.44560572601484322</v>
      </c>
      <c r="W58" s="144">
        <f t="shared" si="6"/>
        <v>0.44699615965802325</v>
      </c>
    </row>
    <row r="59" spans="2:23" s="1" customFormat="1">
      <c r="B59" s="8"/>
      <c r="C59" s="363" t="s">
        <v>80</v>
      </c>
      <c r="D59" s="277" t="s">
        <v>81</v>
      </c>
      <c r="E59" s="154">
        <f>SUM(E42:E44)-E57</f>
        <v>2124.437778</v>
      </c>
      <c r="F59" s="155">
        <f>SUM(F42:F44)-F57</f>
        <v>2182.2024060338058</v>
      </c>
      <c r="G59" s="273">
        <f t="shared" si="4"/>
        <v>2.7190548309768303E-2</v>
      </c>
      <c r="H59" s="233">
        <f>SUM(H42:H44)-H57</f>
        <v>8395.6966870000015</v>
      </c>
      <c r="I59" s="155">
        <f>SUM(I42:I44)-I57</f>
        <v>9493.0702147538068</v>
      </c>
      <c r="J59" s="273">
        <f t="shared" si="5"/>
        <v>0.13070666660135455</v>
      </c>
      <c r="K59" s="9"/>
      <c r="Q59" s="370"/>
      <c r="R59" s="142" t="s">
        <v>65</v>
      </c>
      <c r="T59" s="143">
        <f>SUM(E59,E63)</f>
        <v>2204.5617889801392</v>
      </c>
      <c r="U59" s="143">
        <f>SUM(F59,F63)</f>
        <v>2272.4681056511772</v>
      </c>
      <c r="V59" s="144">
        <f t="shared" si="6"/>
        <v>0.46913143107301775</v>
      </c>
      <c r="W59" s="144">
        <f t="shared" si="6"/>
        <v>0.47012954539500112</v>
      </c>
    </row>
    <row r="60" spans="2:23" s="1" customFormat="1">
      <c r="B60" s="8"/>
      <c r="C60" s="363"/>
      <c r="D60" s="278" t="s">
        <v>41</v>
      </c>
      <c r="E60" s="154">
        <f>E41-E58</f>
        <v>2046.0784895124993</v>
      </c>
      <c r="F60" s="155">
        <f>F41-F58</f>
        <v>2111.5805988594116</v>
      </c>
      <c r="G60" s="156">
        <f t="shared" si="4"/>
        <v>3.2013488085942843E-2</v>
      </c>
      <c r="H60" s="233">
        <f>H41-H58</f>
        <v>16277.911610569996</v>
      </c>
      <c r="I60" s="155">
        <f>I41-I58</f>
        <v>16017.375123861912</v>
      </c>
      <c r="J60" s="273">
        <f t="shared" si="5"/>
        <v>-1.6005522879170009E-2</v>
      </c>
      <c r="K60" s="9"/>
      <c r="Q60" s="370" t="s">
        <v>78</v>
      </c>
      <c r="R60" s="142" t="s">
        <v>66</v>
      </c>
      <c r="T60" s="143">
        <f>E58</f>
        <v>164.32338348749994</v>
      </c>
      <c r="U60" s="143">
        <f>F58</f>
        <v>148.75245669499989</v>
      </c>
      <c r="V60" s="144">
        <f t="shared" si="6"/>
        <v>3.4968066869159382E-2</v>
      </c>
      <c r="W60" s="144">
        <f t="shared" si="6"/>
        <v>3.0773996197570645E-2</v>
      </c>
    </row>
    <row r="61" spans="2:23" s="1" customFormat="1">
      <c r="B61" s="8"/>
      <c r="C61" s="366" t="s">
        <v>64</v>
      </c>
      <c r="D61" s="367"/>
      <c r="E61" s="187">
        <f>SUM(E62:E64)</f>
        <v>141.70824698013928</v>
      </c>
      <c r="F61" s="188">
        <f>SUM(F62:F64)</f>
        <v>148.68944354577641</v>
      </c>
      <c r="G61" s="189">
        <f t="shared" si="4"/>
        <v>4.9264575029395186E-2</v>
      </c>
      <c r="H61" s="232">
        <f>SUM(H62:H64)</f>
        <v>951.16601288083552</v>
      </c>
      <c r="I61" s="188">
        <f>SUM(I62:I64)</f>
        <v>978.73970275579154</v>
      </c>
      <c r="J61" s="189">
        <f t="shared" si="5"/>
        <v>2.89893556976899E-2</v>
      </c>
      <c r="K61" s="9"/>
      <c r="Q61" s="370"/>
      <c r="R61" s="142" t="s">
        <v>89</v>
      </c>
      <c r="T61" s="143">
        <f>E57+E62</f>
        <v>236.34728799999999</v>
      </c>
      <c r="U61" s="143">
        <f>F57+F62</f>
        <v>251.83753789276261</v>
      </c>
      <c r="V61" s="144">
        <f t="shared" si="6"/>
        <v>5.0294776042979654E-2</v>
      </c>
      <c r="W61" s="144">
        <f t="shared" si="6"/>
        <v>5.2100298749405034E-2</v>
      </c>
    </row>
    <row r="62" spans="2:23" s="1" customFormat="1">
      <c r="B62" s="8"/>
      <c r="C62" s="305" t="s">
        <v>78</v>
      </c>
      <c r="D62" s="306" t="s">
        <v>114</v>
      </c>
      <c r="E62" s="359">
        <v>13.653900999999999</v>
      </c>
      <c r="F62" s="320">
        <v>9.3562275582988086</v>
      </c>
      <c r="G62" s="307">
        <f t="shared" si="4"/>
        <v>-0.31475791729419977</v>
      </c>
      <c r="H62" s="321">
        <v>82.754027999999991</v>
      </c>
      <c r="I62" s="320">
        <v>70.153077558298804</v>
      </c>
      <c r="J62" s="307">
        <f t="shared" si="5"/>
        <v>-0.15226993472391681</v>
      </c>
      <c r="K62" s="9"/>
      <c r="Q62" s="142"/>
      <c r="R62" s="142"/>
      <c r="T62" s="142"/>
      <c r="U62" s="142"/>
      <c r="V62" s="142"/>
      <c r="W62" s="142"/>
    </row>
    <row r="63" spans="2:23" s="1" customFormat="1">
      <c r="B63" s="8"/>
      <c r="C63" s="368" t="s">
        <v>80</v>
      </c>
      <c r="D63" s="277" t="s">
        <v>81</v>
      </c>
      <c r="E63" s="154">
        <f>E47-E62</f>
        <v>80.124010980139289</v>
      </c>
      <c r="F63" s="155">
        <f>F47-F62</f>
        <v>90.265699617371382</v>
      </c>
      <c r="G63" s="273">
        <f t="shared" ref="G63" si="7">((F63/E63)-1)</f>
        <v>0.12657489949855316</v>
      </c>
      <c r="H63" s="233">
        <f>H47-H62</f>
        <v>518.3133618808356</v>
      </c>
      <c r="I63" s="155">
        <f>I47-I62</f>
        <v>573.32645346806771</v>
      </c>
      <c r="J63" s="273">
        <f t="shared" ref="J63" si="8">((I63/H63)-1)</f>
        <v>0.10613867137749011</v>
      </c>
      <c r="K63" s="9"/>
      <c r="Q63" s="142"/>
      <c r="R63" s="142"/>
      <c r="T63" s="142"/>
      <c r="U63" s="142"/>
      <c r="V63" s="142"/>
      <c r="W63" s="142"/>
    </row>
    <row r="64" spans="2:23" s="1" customFormat="1" ht="13.8" thickBot="1">
      <c r="B64" s="8"/>
      <c r="C64" s="369"/>
      <c r="D64" s="279" t="s">
        <v>41</v>
      </c>
      <c r="E64" s="158">
        <f>E46</f>
        <v>47.930334999999992</v>
      </c>
      <c r="F64" s="159">
        <f>F46</f>
        <v>49.067516370106219</v>
      </c>
      <c r="G64" s="160">
        <f t="shared" si="4"/>
        <v>2.3725712956235823E-2</v>
      </c>
      <c r="H64" s="234">
        <f>H46</f>
        <v>350.09862300000003</v>
      </c>
      <c r="I64" s="159">
        <f>I46</f>
        <v>335.260171729425</v>
      </c>
      <c r="J64" s="160">
        <f t="shared" si="5"/>
        <v>-4.2383632198904841E-2</v>
      </c>
      <c r="K64" s="9"/>
      <c r="Q64" s="142"/>
      <c r="R64" s="142"/>
      <c r="T64" s="143">
        <f>SUM(T58:T61)</f>
        <v>4699.2412849801385</v>
      </c>
      <c r="U64" s="143">
        <f>SUM(U58:U61)</f>
        <v>4833.7062154684572</v>
      </c>
      <c r="V64" s="142"/>
      <c r="W64" s="142"/>
    </row>
    <row r="65" spans="2:22" s="1" customFormat="1" ht="14.4" thickTop="1" thickBot="1">
      <c r="B65" s="8"/>
      <c r="C65" s="361" t="s">
        <v>108</v>
      </c>
      <c r="D65" s="362"/>
      <c r="E65" s="190">
        <f>SUM(E56,E61)</f>
        <v>4699.2412849801385</v>
      </c>
      <c r="F65" s="191">
        <f>SUM(F56,F61)</f>
        <v>4833.7062154684572</v>
      </c>
      <c r="G65" s="192">
        <f t="shared" si="4"/>
        <v>2.8614178828846315E-2</v>
      </c>
      <c r="H65" s="235">
        <f>SUM(H56,H61)</f>
        <v>28392.277195880833</v>
      </c>
      <c r="I65" s="191">
        <f>SUM(I56,I61)</f>
        <v>29206.265684925977</v>
      </c>
      <c r="J65" s="192">
        <f t="shared" si="5"/>
        <v>2.8669362567481427E-2</v>
      </c>
      <c r="K65" s="9"/>
      <c r="Q65" s="142"/>
      <c r="R65" s="142"/>
      <c r="S65" s="142"/>
      <c r="T65" s="142"/>
      <c r="U65" s="142"/>
      <c r="V65" s="142"/>
    </row>
    <row r="66" spans="2:22" s="1" customFormat="1">
      <c r="B66" s="8"/>
      <c r="C66" s="259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3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zoomScaleNormal="100" zoomScaleSheetLayoutView="100" workbookViewId="0">
      <selection activeCell="B2" sqref="B2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2309.4005719245179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2091.8310077785245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180.52040042426506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40.920383377762704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155.89325628249992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55.023898232499981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0">
        <f t="shared" si="0"/>
        <v>0.11669744838772365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4833.7062154684581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11"/>
      <c r="G23" s="258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29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27"/>
      <c r="D25" s="127"/>
      <c r="E25" s="163"/>
      <c r="F25" s="163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5" t="s">
        <v>61</v>
      </c>
      <c r="D26" s="385" t="s">
        <v>126</v>
      </c>
      <c r="E26" s="385"/>
      <c r="F26" s="381" t="s">
        <v>74</v>
      </c>
      <c r="G26" s="379" t="s">
        <v>127</v>
      </c>
      <c r="H26" s="380"/>
      <c r="I26" s="381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6"/>
      <c r="D27" s="94">
        <v>2021</v>
      </c>
      <c r="E27" s="95">
        <v>2022</v>
      </c>
      <c r="F27" s="382"/>
      <c r="G27" s="236">
        <v>2021</v>
      </c>
      <c r="H27" s="95">
        <v>2022</v>
      </c>
      <c r="I27" s="382"/>
      <c r="J27" s="20"/>
      <c r="K27" s="54"/>
      <c r="L27" s="54"/>
      <c r="M27" s="55" t="s">
        <v>85</v>
      </c>
      <c r="N27" s="70">
        <f t="shared" ref="N27:O29" si="1">D28</f>
        <v>2258.3322079999994</v>
      </c>
      <c r="O27" s="70">
        <f t="shared" si="1"/>
        <v>2309.4005719245179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4" t="s">
        <v>85</v>
      </c>
      <c r="D28" s="165">
        <f>'Resumen (G)'!E41+'Resumen (G)'!E46</f>
        <v>2258.3322079999994</v>
      </c>
      <c r="E28" s="166">
        <f>'Resumen (G)'!F41+'Resumen (G)'!F46</f>
        <v>2309.4005719245179</v>
      </c>
      <c r="F28" s="167">
        <f>+E28/D28-1</f>
        <v>2.2613308947023958E-2</v>
      </c>
      <c r="G28" s="249">
        <f>'Resumen (G)'!H41+'Resumen (G)'!H46</f>
        <v>17983.721310999998</v>
      </c>
      <c r="H28" s="166">
        <f>'Resumen (G)'!I41+'Resumen (G)'!I46</f>
        <v>17623.583397776336</v>
      </c>
      <c r="I28" s="167">
        <f>+H28/G28-1</f>
        <v>-2.0025772585976265E-2</v>
      </c>
      <c r="J28" s="294"/>
      <c r="K28" s="54"/>
      <c r="L28" s="54"/>
      <c r="M28" s="55" t="s">
        <v>2</v>
      </c>
      <c r="N28" s="70">
        <f t="shared" si="1"/>
        <v>2128.7463600000001</v>
      </c>
      <c r="O28" s="70">
        <f t="shared" si="1"/>
        <v>2091.8310077785245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8" t="s">
        <v>2</v>
      </c>
      <c r="D29" s="169">
        <v>2128.7463600000001</v>
      </c>
      <c r="E29" s="170">
        <v>2091.8310077785245</v>
      </c>
      <c r="F29" s="171">
        <f t="shared" ref="F29:F35" si="2">+E29/D29-1</f>
        <v>-1.7341357765833454E-2</v>
      </c>
      <c r="G29" s="250">
        <v>8436.2534480000013</v>
      </c>
      <c r="H29" s="170">
        <v>9314.8303368085253</v>
      </c>
      <c r="I29" s="171">
        <f t="shared" ref="I29:I35" si="3">+H29/G29-1</f>
        <v>0.10414301730311459</v>
      </c>
      <c r="J29" s="256"/>
      <c r="K29" s="257"/>
      <c r="L29" s="54"/>
      <c r="M29" s="55" t="s">
        <v>84</v>
      </c>
      <c r="N29" s="70">
        <f t="shared" si="1"/>
        <v>75.578867980139876</v>
      </c>
      <c r="O29" s="70">
        <f t="shared" si="1"/>
        <v>180.52040042426506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8" t="s">
        <v>3</v>
      </c>
      <c r="D30" s="169">
        <f>'Resumen (G)'!E32-SUM('TipoRecurso (G)'!D28:D29,'TipoRecurso (G)'!D31:D34)</f>
        <v>75.578867980139876</v>
      </c>
      <c r="E30" s="170">
        <f>'Resumen (G)'!F32-SUM('TipoRecurso (G)'!E28:E29,'TipoRecurso (G)'!E31:E34)</f>
        <v>180.52040042426506</v>
      </c>
      <c r="F30" s="171">
        <f t="shared" si="2"/>
        <v>1.3885036287087686</v>
      </c>
      <c r="G30" s="250">
        <f>'Resumen (G)'!H32-SUM('TipoRecurso (G)'!G28:G29,'TipoRecurso (G)'!G31:G34)</f>
        <v>476.40174988083527</v>
      </c>
      <c r="H30" s="170">
        <f>'Resumen (G)'!I32-SUM('TipoRecurso (G)'!H28:H29,'TipoRecurso (G)'!H31:H34)</f>
        <v>750.68663396496049</v>
      </c>
      <c r="I30" s="171">
        <f t="shared" si="3"/>
        <v>0.57574281402772653</v>
      </c>
      <c r="J30" s="294"/>
      <c r="K30" s="54"/>
      <c r="L30" s="54"/>
      <c r="M30" s="55" t="s">
        <v>4</v>
      </c>
      <c r="N30" s="98">
        <f>D34</f>
        <v>0.23656099999999999</v>
      </c>
      <c r="O30" s="98">
        <f>E34</f>
        <v>0.11669744838772365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8" t="s">
        <v>6</v>
      </c>
      <c r="D31" s="169">
        <f>'Resumen (G)'!E57+'Resumen (G)'!E62-SUM('TipoRecurso (G)'!D32:D33)</f>
        <v>47.416857999999991</v>
      </c>
      <c r="E31" s="170">
        <f>'Resumen (G)'!F57+'Resumen (G)'!F62-SUM('TipoRecurso (G)'!E32:E33)</f>
        <v>40.920383377762704</v>
      </c>
      <c r="F31" s="171">
        <f t="shared" si="2"/>
        <v>-0.13700769929203849</v>
      </c>
      <c r="G31" s="250">
        <f>'Resumen (G)'!H57+'Resumen (G)'!H62-SUM('TipoRecurso (G)'!G32:G33)</f>
        <v>236.53619300000014</v>
      </c>
      <c r="H31" s="170">
        <f>'Resumen (G)'!I57+'Resumen (G)'!I62-SUM('TipoRecurso (G)'!H32:H33)</f>
        <v>212.55021375776278</v>
      </c>
      <c r="I31" s="171">
        <f t="shared" si="3"/>
        <v>-0.10140511241861982</v>
      </c>
      <c r="J31" s="20"/>
      <c r="K31" s="54"/>
      <c r="L31" s="54"/>
      <c r="M31" s="55" t="s">
        <v>90</v>
      </c>
      <c r="N31" s="70">
        <f t="shared" ref="N31:O33" si="4">D31</f>
        <v>47.416857999999991</v>
      </c>
      <c r="O31" s="70">
        <f t="shared" si="4"/>
        <v>40.920383377762704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8" t="s">
        <v>14</v>
      </c>
      <c r="D32" s="169">
        <f>'Resumen (G)'!E43</f>
        <v>134.65285399999999</v>
      </c>
      <c r="E32" s="170">
        <f>'Resumen (G)'!F43</f>
        <v>155.89325628249992</v>
      </c>
      <c r="F32" s="171">
        <f t="shared" si="2"/>
        <v>0.15774193900487199</v>
      </c>
      <c r="G32" s="250">
        <f>'Resumen (G)'!H43</f>
        <v>884.35092999999995</v>
      </c>
      <c r="H32" s="170">
        <f>'Resumen (G)'!I43</f>
        <v>923.86477556750015</v>
      </c>
      <c r="I32" s="171">
        <f t="shared" si="3"/>
        <v>4.4681182805450526E-2</v>
      </c>
      <c r="J32" s="20"/>
      <c r="K32" s="54"/>
      <c r="L32" s="54"/>
      <c r="M32" s="55" t="s">
        <v>14</v>
      </c>
      <c r="N32" s="70">
        <f t="shared" si="4"/>
        <v>134.65285399999999</v>
      </c>
      <c r="O32" s="70">
        <f t="shared" si="4"/>
        <v>155.89325628249992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8" t="s">
        <v>5</v>
      </c>
      <c r="D33" s="169">
        <f>'Resumen (G)'!E44</f>
        <v>54.277576000000003</v>
      </c>
      <c r="E33" s="170">
        <f>'Resumen (G)'!F44</f>
        <v>55.023898232499981</v>
      </c>
      <c r="F33" s="171">
        <f t="shared" si="2"/>
        <v>1.3750102482468662E-2</v>
      </c>
      <c r="G33" s="250">
        <f>'Resumen (G)'!H44</f>
        <v>373.65871300000003</v>
      </c>
      <c r="H33" s="170">
        <f>'Resumen (G)'!I44</f>
        <v>379.87062960249989</v>
      </c>
      <c r="I33" s="171">
        <f t="shared" si="3"/>
        <v>1.6624573136877041E-2</v>
      </c>
      <c r="J33" s="20"/>
      <c r="K33" s="54"/>
      <c r="L33" s="54"/>
      <c r="M33" s="55" t="s">
        <v>5</v>
      </c>
      <c r="N33" s="70">
        <f t="shared" si="4"/>
        <v>54.277576000000003</v>
      </c>
      <c r="O33" s="70">
        <f t="shared" si="4"/>
        <v>55.023898232499981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2" t="s">
        <v>4</v>
      </c>
      <c r="D34" s="360">
        <v>0.23656099999999999</v>
      </c>
      <c r="E34" s="355">
        <v>0.11669744838772365</v>
      </c>
      <c r="F34" s="173">
        <f t="shared" si="2"/>
        <v>-0.5066919382834717</v>
      </c>
      <c r="G34" s="354">
        <v>1.3548509999999998</v>
      </c>
      <c r="H34" s="355">
        <v>0.87969744838772368</v>
      </c>
      <c r="I34" s="173">
        <f t="shared" si="3"/>
        <v>-0.35070539241014409</v>
      </c>
      <c r="J34" s="20"/>
      <c r="K34" s="54"/>
      <c r="L34" s="54"/>
      <c r="M34" s="96"/>
      <c r="N34" s="97">
        <f>SUM(N27:N33)</f>
        <v>4699.2412849801385</v>
      </c>
      <c r="O34" s="97">
        <f>SUM(O27:O33)</f>
        <v>4833.7062154684581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7" t="s">
        <v>108</v>
      </c>
      <c r="D35" s="298">
        <f>SUM(D28:D34)</f>
        <v>4699.2412849801385</v>
      </c>
      <c r="E35" s="299">
        <f>SUM(E28:E34)</f>
        <v>4833.7062154684581</v>
      </c>
      <c r="F35" s="300">
        <f t="shared" si="2"/>
        <v>2.8614178828846315E-2</v>
      </c>
      <c r="G35" s="301">
        <f>SUM(G28:G34)</f>
        <v>28392.277195880833</v>
      </c>
      <c r="H35" s="299">
        <f>SUM(H28:H34)</f>
        <v>29206.265684925977</v>
      </c>
      <c r="I35" s="302">
        <f t="shared" si="3"/>
        <v>2.8669362567481427E-2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4"/>
      <c r="D36" s="174"/>
      <c r="E36" s="175"/>
      <c r="F36" s="176"/>
      <c r="G36" s="17"/>
      <c r="H36" s="17"/>
      <c r="I36" s="18"/>
      <c r="J36" s="20"/>
      <c r="K36" s="54"/>
      <c r="L36" s="54"/>
      <c r="M36" s="55"/>
      <c r="N36" s="97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0.48057379288400259</v>
      </c>
      <c r="N40" s="227">
        <f t="shared" si="5"/>
        <v>0.47777015585559385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0.45299788431889326</v>
      </c>
      <c r="N41" s="227">
        <f t="shared" si="5"/>
        <v>0.43275923577738473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1.6083206500101924E-2</v>
      </c>
      <c r="N42" s="227">
        <f t="shared" si="5"/>
        <v>3.7346167180491323E-2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5.034025402272993E-5</v>
      </c>
      <c r="N43" s="227">
        <f t="shared" si="5"/>
        <v>2.4142437125011318E-5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1.0090322059340778E-2</v>
      </c>
      <c r="N44" s="227">
        <f t="shared" si="5"/>
        <v>8.4656331091890556E-3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2.8654169010299949E-2</v>
      </c>
      <c r="N45" s="227">
        <f t="shared" si="5"/>
        <v>3.2251289038548146E-2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1.1550284973338926E-2</v>
      </c>
      <c r="N46" s="227">
        <f t="shared" si="5"/>
        <v>1.1383376601667826E-2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1.0000000000000002</v>
      </c>
      <c r="N49" s="228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3" t="s">
        <v>91</v>
      </c>
      <c r="D53" s="385" t="s">
        <v>126</v>
      </c>
      <c r="E53" s="385"/>
      <c r="F53" s="381" t="s">
        <v>74</v>
      </c>
      <c r="G53" s="379" t="s">
        <v>127</v>
      </c>
      <c r="H53" s="380"/>
      <c r="I53" s="381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4"/>
      <c r="D54" s="94">
        <v>2021</v>
      </c>
      <c r="E54" s="95">
        <v>2022</v>
      </c>
      <c r="F54" s="382"/>
      <c r="G54" s="236">
        <v>2021</v>
      </c>
      <c r="H54" s="95">
        <v>2022</v>
      </c>
      <c r="I54" s="382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4" t="s">
        <v>42</v>
      </c>
      <c r="D55" s="285">
        <f>SUM(D28:D30,D34)</f>
        <v>4462.8939969801386</v>
      </c>
      <c r="E55" s="286">
        <f>SUM(E28:E30,E34)</f>
        <v>4581.8686775756951</v>
      </c>
      <c r="F55" s="287">
        <f>+E55/D55-1</f>
        <v>2.6658639142238538E-2</v>
      </c>
      <c r="G55" s="288">
        <f>SUM(G28:G30,G34)</f>
        <v>26897.731359880832</v>
      </c>
      <c r="H55" s="286">
        <f>SUM(H28:H30,H34)</f>
        <v>27689.98006599821</v>
      </c>
      <c r="I55" s="287">
        <f>+H55/G55-1</f>
        <v>2.9454108806330481E-2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89" t="s">
        <v>104</v>
      </c>
      <c r="D56" s="349">
        <f>SUM(D31:D33)</f>
        <v>236.34728799999999</v>
      </c>
      <c r="E56" s="290">
        <f>SUM(E31:E33)</f>
        <v>251.83753789276261</v>
      </c>
      <c r="F56" s="352">
        <f>+E56/D56-1</f>
        <v>6.5540205787183003E-2</v>
      </c>
      <c r="G56" s="351">
        <f>SUM(G31:G33)</f>
        <v>1494.545836</v>
      </c>
      <c r="H56" s="346">
        <f>SUM(H31:H33)</f>
        <v>1516.2856189277627</v>
      </c>
      <c r="I56" s="350">
        <f>+H56/G56-1</f>
        <v>1.4546079754868657E-2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1" t="s">
        <v>71</v>
      </c>
      <c r="D57" s="99">
        <f>SUM(D55:D56)</f>
        <v>4699.2412849801385</v>
      </c>
      <c r="E57" s="100">
        <f>SUM(E55:E56)</f>
        <v>4833.7062154684572</v>
      </c>
      <c r="F57" s="101">
        <f>+E57/D57-1</f>
        <v>2.8614178828846315E-2</v>
      </c>
      <c r="G57" s="251">
        <f>SUM(G55:G56)</f>
        <v>28392.277195880833</v>
      </c>
      <c r="H57" s="100">
        <f>SUM(H55:H56)</f>
        <v>29206.265684925973</v>
      </c>
      <c r="I57" s="101">
        <f>+H57/G57-1</f>
        <v>2.8669362567481427E-2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4" t="s">
        <v>8</v>
      </c>
      <c r="D58" s="102">
        <f>+D56/D57</f>
        <v>5.0294776042979654E-2</v>
      </c>
      <c r="E58" s="103">
        <f>+E56/E57</f>
        <v>5.2100298749405034E-2</v>
      </c>
      <c r="F58" s="104"/>
      <c r="G58" s="252">
        <f>+G56/G57</f>
        <v>5.263916753450229E-2</v>
      </c>
      <c r="H58" s="103">
        <f>+H56/H57</f>
        <v>5.1916449548370464E-2</v>
      </c>
      <c r="I58" s="104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0" t="s">
        <v>105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4462.8939969801386</v>
      </c>
      <c r="N63" s="76">
        <f>E55</f>
        <v>4581.8686775756951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236.34728799999999</v>
      </c>
      <c r="N64" s="76">
        <f>E56</f>
        <v>251.83753789276261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0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2"/>
      <c r="D76" s="385" t="s">
        <v>126</v>
      </c>
      <c r="E76" s="385"/>
      <c r="F76" s="105" t="s">
        <v>74</v>
      </c>
      <c r="G76" s="379" t="s">
        <v>127</v>
      </c>
      <c r="H76" s="380"/>
      <c r="I76" s="225" t="s">
        <v>74</v>
      </c>
      <c r="J76" s="19"/>
      <c r="K76" s="57"/>
      <c r="L76" s="57"/>
      <c r="M76" s="55" t="s">
        <v>96</v>
      </c>
      <c r="N76" s="70">
        <f>D78</f>
        <v>1.7900440899999999</v>
      </c>
      <c r="O76" s="70">
        <f>E78</f>
        <v>60.975191002500011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347" t="s">
        <v>95</v>
      </c>
      <c r="D77" s="348">
        <v>2021</v>
      </c>
      <c r="E77" s="95">
        <v>2022</v>
      </c>
      <c r="F77" s="106"/>
      <c r="G77" s="340">
        <v>2021</v>
      </c>
      <c r="H77" s="95">
        <v>2022</v>
      </c>
      <c r="I77" s="226"/>
      <c r="J77" s="19"/>
      <c r="K77" s="57"/>
      <c r="L77" s="57"/>
      <c r="M77" s="55" t="s">
        <v>97</v>
      </c>
      <c r="N77" s="70">
        <f>D79</f>
        <v>4555.7429939099993</v>
      </c>
      <c r="O77" s="70">
        <f>E79</f>
        <v>4624.0415809201813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3" t="s">
        <v>96</v>
      </c>
      <c r="D78" s="154">
        <v>1.7900440899999999</v>
      </c>
      <c r="E78" s="345">
        <v>60.975191002500011</v>
      </c>
      <c r="F78" s="156">
        <f>((E78/D78)-1)</f>
        <v>33.063513487257183</v>
      </c>
      <c r="G78" s="233">
        <v>21.537922792499998</v>
      </c>
      <c r="H78" s="345">
        <v>241.31251464499999</v>
      </c>
      <c r="I78" s="156">
        <f>((H78/G78)-1)</f>
        <v>10.204075572646708</v>
      </c>
      <c r="J78" s="19"/>
      <c r="K78" s="255"/>
      <c r="L78" s="57"/>
    </row>
    <row r="79" spans="2:28" ht="16.5" customHeight="1" thickBot="1">
      <c r="C79" s="291" t="s">
        <v>97</v>
      </c>
      <c r="D79" s="158">
        <f>'Resumen (G)'!E40-D78</f>
        <v>4555.7429939099993</v>
      </c>
      <c r="E79" s="323">
        <f>'Resumen (G)'!F40-E78</f>
        <v>4624.0415809201813</v>
      </c>
      <c r="F79" s="160">
        <f>((E79/D79)-1)</f>
        <v>1.499175592246571E-2</v>
      </c>
      <c r="G79" s="234">
        <f>'Resumen (G)'!H40-G78</f>
        <v>27419.573260207497</v>
      </c>
      <c r="H79" s="323">
        <f>'Resumen (G)'!I40-H78</f>
        <v>27986.213467525184</v>
      </c>
      <c r="I79" s="160">
        <f>((H79/G79)-1)</f>
        <v>2.066553705779306E-2</v>
      </c>
      <c r="J79" s="19"/>
      <c r="K79" s="57"/>
      <c r="L79" s="57"/>
      <c r="M79" s="70"/>
      <c r="N79" s="70"/>
      <c r="O79" s="70"/>
    </row>
    <row r="80" spans="2:28" ht="14.4" thickTop="1" thickBot="1">
      <c r="C80" s="125" t="s">
        <v>94</v>
      </c>
      <c r="D80" s="229">
        <f>SUM(D78:D79)</f>
        <v>4557.5330379999996</v>
      </c>
      <c r="E80" s="324">
        <f>SUM(E78:E79)</f>
        <v>4685.0167719226811</v>
      </c>
      <c r="F80" s="126"/>
      <c r="G80" s="253">
        <f>SUM(G78:G79)</f>
        <v>27441.111182999997</v>
      </c>
      <c r="H80" s="324">
        <f>SUM(H78:H79)</f>
        <v>28227.525982170184</v>
      </c>
      <c r="I80" s="126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zoomScale="90" zoomScaleNormal="100" zoomScaleSheetLayoutView="90" workbookViewId="0">
      <selection activeCell="C2" sqref="C2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5" t="s">
        <v>44</v>
      </c>
      <c r="D8" s="393" t="s">
        <v>126</v>
      </c>
      <c r="E8" s="394"/>
      <c r="F8" s="381" t="s">
        <v>74</v>
      </c>
      <c r="G8" s="379" t="s">
        <v>127</v>
      </c>
      <c r="H8" s="380"/>
      <c r="I8" s="381" t="s">
        <v>74</v>
      </c>
      <c r="J8" s="26"/>
    </row>
    <row r="9" spans="2:13" s="1" customFormat="1" ht="13.5" customHeight="1">
      <c r="B9" s="19"/>
      <c r="C9" s="206"/>
      <c r="D9" s="109">
        <v>2021</v>
      </c>
      <c r="E9" s="95">
        <v>2022</v>
      </c>
      <c r="F9" s="382"/>
      <c r="G9" s="340">
        <v>2021</v>
      </c>
      <c r="H9" s="95">
        <v>2022</v>
      </c>
      <c r="I9" s="382"/>
      <c r="J9" s="26"/>
    </row>
    <row r="10" spans="2:13">
      <c r="C10" s="193" t="s">
        <v>10</v>
      </c>
      <c r="D10" s="194">
        <f>'Por Región (G)'!O8</f>
        <v>315.23638799999998</v>
      </c>
      <c r="E10" s="195">
        <f>'Por Región (G)'!P8</f>
        <v>380.93493314999989</v>
      </c>
      <c r="F10" s="196">
        <f>+E10/D10-1</f>
        <v>0.20841041088822498</v>
      </c>
      <c r="G10" s="335">
        <f>'Por Región (G)'!Q8</f>
        <v>1918.9742340000003</v>
      </c>
      <c r="H10" s="195">
        <f>'Por Región (G)'!R8</f>
        <v>2067.6338510099995</v>
      </c>
      <c r="I10" s="196">
        <f>+H10/G10-1</f>
        <v>7.7468271525525489E-2</v>
      </c>
      <c r="J10" s="26"/>
      <c r="L10" s="142" t="s">
        <v>9</v>
      </c>
      <c r="M10" s="230">
        <f>E11</f>
        <v>3920.423139316646</v>
      </c>
    </row>
    <row r="11" spans="2:13">
      <c r="C11" s="197" t="s">
        <v>9</v>
      </c>
      <c r="D11" s="198">
        <f>'Por Región (G)'!O9</f>
        <v>3834.1690239999998</v>
      </c>
      <c r="E11" s="199">
        <f>'Por Región (G)'!P9</f>
        <v>3920.423139316646</v>
      </c>
      <c r="F11" s="200">
        <f>+E11/D11-1</f>
        <v>2.2496169255121101E-2</v>
      </c>
      <c r="G11" s="336">
        <f>'Por Región (G)'!Q9</f>
        <v>22554.064264000001</v>
      </c>
      <c r="H11" s="199">
        <f>'Por Región (G)'!R9</f>
        <v>23296.853492775965</v>
      </c>
      <c r="I11" s="200">
        <f>+H11/G11-1</f>
        <v>3.2933719620617419E-2</v>
      </c>
      <c r="J11" s="26"/>
      <c r="L11" s="142" t="s">
        <v>12</v>
      </c>
      <c r="M11" s="230">
        <f>E12</f>
        <v>498.2526272018103</v>
      </c>
    </row>
    <row r="12" spans="2:13">
      <c r="C12" s="197" t="s">
        <v>12</v>
      </c>
      <c r="D12" s="198">
        <f>'Por Región (G)'!O10</f>
        <v>516.60087500000009</v>
      </c>
      <c r="E12" s="199">
        <f>'Por Región (G)'!P10</f>
        <v>498.2526272018103</v>
      </c>
      <c r="F12" s="200">
        <f>+E12/D12-1</f>
        <v>-3.5517260396025874E-2</v>
      </c>
      <c r="G12" s="336">
        <f>'Por Región (G)'!Q10</f>
        <v>3719.6017450000004</v>
      </c>
      <c r="H12" s="199">
        <f>'Por Región (G)'!R10</f>
        <v>3635.6070174393099</v>
      </c>
      <c r="I12" s="200">
        <f>+H12/G12-1</f>
        <v>-2.2581645380072901E-2</v>
      </c>
      <c r="J12" s="26"/>
      <c r="L12" s="142" t="s">
        <v>10</v>
      </c>
      <c r="M12" s="230">
        <f>E10</f>
        <v>380.93493314999989</v>
      </c>
    </row>
    <row r="13" spans="2:13">
      <c r="C13" s="201" t="s">
        <v>11</v>
      </c>
      <c r="D13" s="202">
        <f>'Por Región (G)'!O11</f>
        <v>33.234997</v>
      </c>
      <c r="E13" s="203">
        <f>'Por Región (G)'!P11</f>
        <v>34.095515800000001</v>
      </c>
      <c r="F13" s="204">
        <f>+E13/D13-1</f>
        <v>2.5891947575623409E-2</v>
      </c>
      <c r="G13" s="337">
        <f>'Por Región (G)'!Q11</f>
        <v>199.63694700000002</v>
      </c>
      <c r="H13" s="203">
        <f>'Por Región (G)'!R11</f>
        <v>206.17131879999997</v>
      </c>
      <c r="I13" s="204">
        <f>+H13/G13-1</f>
        <v>3.2731274937799704E-2</v>
      </c>
      <c r="J13" s="26"/>
      <c r="L13" s="142" t="s">
        <v>11</v>
      </c>
      <c r="M13" s="230">
        <f>E13</f>
        <v>34.095515800000001</v>
      </c>
    </row>
    <row r="14" spans="2:13" ht="13.8" thickBot="1">
      <c r="C14" s="207" t="s">
        <v>108</v>
      </c>
      <c r="D14" s="208">
        <f>SUM(D10:D13)</f>
        <v>4699.2412839999997</v>
      </c>
      <c r="E14" s="209">
        <f>SUM(E10:E13)</f>
        <v>4833.7062154684563</v>
      </c>
      <c r="F14" s="210">
        <f>+E14/D14-1</f>
        <v>2.8614179043388033E-2</v>
      </c>
      <c r="G14" s="338">
        <f>SUM(G10:G13)</f>
        <v>28392.277190000001</v>
      </c>
      <c r="H14" s="209">
        <f>SUM(H10:H13)</f>
        <v>29206.265680025273</v>
      </c>
      <c r="I14" s="210">
        <f>+H14/G14-1</f>
        <v>2.8669362607940618E-2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0" t="s">
        <v>93</v>
      </c>
      <c r="D18" s="390"/>
      <c r="E18" s="390"/>
      <c r="F18" s="390"/>
      <c r="G18" s="391" t="s">
        <v>107</v>
      </c>
      <c r="H18" s="392"/>
      <c r="I18" s="392"/>
      <c r="J18" s="392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0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5">
      <c r="C49" s="25"/>
      <c r="D49" s="19"/>
      <c r="E49" s="19"/>
      <c r="F49" s="19"/>
      <c r="G49" s="19"/>
      <c r="H49" s="19"/>
      <c r="I49" s="19"/>
      <c r="J49" s="19"/>
    </row>
    <row r="50" spans="3:15">
      <c r="C50" s="25"/>
      <c r="D50" s="19"/>
      <c r="E50" s="19"/>
      <c r="F50" s="19"/>
      <c r="G50" s="19"/>
      <c r="H50" s="19"/>
      <c r="I50" s="19"/>
      <c r="J50" s="19"/>
    </row>
    <row r="51" spans="3:15">
      <c r="C51" s="25"/>
      <c r="D51" s="19"/>
      <c r="E51" s="19"/>
      <c r="F51" s="19"/>
      <c r="G51" s="19"/>
      <c r="H51" s="19"/>
      <c r="I51" s="19"/>
      <c r="J51" s="19"/>
    </row>
    <row r="52" spans="3:15">
      <c r="C52" s="25"/>
      <c r="D52" s="19"/>
      <c r="E52" s="19"/>
      <c r="F52" s="19"/>
      <c r="G52" s="19"/>
      <c r="H52" s="19"/>
      <c r="I52" s="37"/>
      <c r="J52" s="19"/>
    </row>
    <row r="53" spans="3:15" ht="13.8" thickBot="1">
      <c r="C53" s="211" t="s">
        <v>98</v>
      </c>
      <c r="D53" s="87"/>
      <c r="E53" s="87"/>
      <c r="F53" s="87"/>
      <c r="G53" s="87"/>
      <c r="H53" s="87"/>
      <c r="I53" s="37"/>
      <c r="J53" s="19"/>
    </row>
    <row r="54" spans="3:15">
      <c r="C54" s="386" t="s">
        <v>13</v>
      </c>
      <c r="D54" s="388" t="s">
        <v>131</v>
      </c>
      <c r="E54" s="389"/>
      <c r="F54" s="389"/>
      <c r="G54" s="389"/>
      <c r="H54" s="389"/>
      <c r="I54" s="19"/>
      <c r="J54" s="19"/>
    </row>
    <row r="55" spans="3:15">
      <c r="C55" s="387"/>
      <c r="D55" s="112" t="s">
        <v>14</v>
      </c>
      <c r="E55" s="113" t="s">
        <v>15</v>
      </c>
      <c r="F55" s="113" t="s">
        <v>5</v>
      </c>
      <c r="G55" s="113" t="s">
        <v>16</v>
      </c>
      <c r="H55" s="113" t="s">
        <v>71</v>
      </c>
      <c r="I55" s="19"/>
      <c r="J55" s="19"/>
    </row>
    <row r="56" spans="3:15">
      <c r="C56" s="212" t="s">
        <v>10</v>
      </c>
      <c r="D56" s="331">
        <f>'Resumen (G)'!F14-'PorZona (G)'!D58</f>
        <v>96.714477009999911</v>
      </c>
      <c r="E56" s="216">
        <v>133.96485479537156</v>
      </c>
      <c r="F56" s="216">
        <v>0</v>
      </c>
      <c r="G56" s="216">
        <v>150.25560134462842</v>
      </c>
      <c r="H56" s="216">
        <f>SUM(D56:G56)</f>
        <v>380.93493314999989</v>
      </c>
      <c r="I56" s="326"/>
      <c r="K56" s="303"/>
      <c r="L56" s="316"/>
      <c r="M56" s="316"/>
      <c r="O56" s="316"/>
    </row>
    <row r="57" spans="3:15">
      <c r="C57" s="213" t="s">
        <v>9</v>
      </c>
      <c r="D57" s="332">
        <v>0</v>
      </c>
      <c r="E57" s="217">
        <v>1878.035711504398</v>
      </c>
      <c r="F57" s="333">
        <v>6.4619999999999999E-3</v>
      </c>
      <c r="G57" s="217">
        <v>2042.380965812248</v>
      </c>
      <c r="H57" s="217">
        <f>SUM(D57:G57)</f>
        <v>3920.423139316646</v>
      </c>
      <c r="I57" s="326"/>
      <c r="K57" s="303"/>
      <c r="L57" s="316"/>
      <c r="M57" s="316"/>
      <c r="O57" s="316"/>
    </row>
    <row r="58" spans="3:15">
      <c r="C58" s="213" t="s">
        <v>12</v>
      </c>
      <c r="D58" s="332">
        <v>59.178779272500009</v>
      </c>
      <c r="E58" s="217">
        <v>297.40000562474864</v>
      </c>
      <c r="F58" s="217">
        <f>'Resumen (G)'!D15</f>
        <v>55.023898232499981</v>
      </c>
      <c r="G58" s="217">
        <v>86.649944072061714</v>
      </c>
      <c r="H58" s="217">
        <f>SUM(D58:G58)</f>
        <v>498.2526272018103</v>
      </c>
      <c r="I58" s="326"/>
      <c r="K58" s="303"/>
      <c r="L58" s="316"/>
      <c r="M58" s="316"/>
      <c r="O58" s="316"/>
    </row>
    <row r="59" spans="3:15">
      <c r="C59" s="214" t="s">
        <v>11</v>
      </c>
      <c r="D59" s="334">
        <v>0</v>
      </c>
      <c r="E59" s="218">
        <v>0</v>
      </c>
      <c r="F59" s="218">
        <v>0</v>
      </c>
      <c r="G59" s="218">
        <f>E13</f>
        <v>34.095515800000001</v>
      </c>
      <c r="H59" s="218">
        <f>SUM(D59:G59)</f>
        <v>34.095515800000001</v>
      </c>
      <c r="I59" s="326"/>
      <c r="K59" s="19"/>
      <c r="L59" s="316"/>
      <c r="M59" s="316"/>
    </row>
    <row r="60" spans="3:15" ht="13.8" thickBot="1">
      <c r="C60" s="114" t="s">
        <v>108</v>
      </c>
      <c r="D60" s="219">
        <f>SUM(D56:D59)</f>
        <v>155.89325628249992</v>
      </c>
      <c r="E60" s="220">
        <f>SUM(E56:E59)</f>
        <v>2309.4005719245183</v>
      </c>
      <c r="F60" s="220">
        <f>SUM(F56:F59)</f>
        <v>55.03036023249998</v>
      </c>
      <c r="G60" s="220">
        <f>SUM(G56:G59)</f>
        <v>2313.3820270289384</v>
      </c>
      <c r="H60" s="220">
        <f>SUM(H56:H59)</f>
        <v>4833.7062154684563</v>
      </c>
      <c r="I60" s="19"/>
      <c r="J60" s="19"/>
    </row>
    <row r="61" spans="3:15" ht="6.75" customHeight="1">
      <c r="C61" s="19"/>
      <c r="D61" s="19"/>
      <c r="E61" s="19"/>
      <c r="F61" s="19"/>
      <c r="G61" s="19"/>
      <c r="H61" s="19"/>
      <c r="I61" s="19"/>
      <c r="J61" s="19"/>
    </row>
    <row r="62" spans="3:15">
      <c r="C62" s="19"/>
      <c r="D62" s="19"/>
      <c r="E62" s="19"/>
      <c r="F62" s="19"/>
      <c r="G62" s="19"/>
      <c r="H62" s="19"/>
      <c r="I62" s="19"/>
      <c r="J62" s="19"/>
    </row>
    <row r="63" spans="3:15">
      <c r="C63" s="19"/>
      <c r="D63" s="19"/>
      <c r="E63" s="19"/>
      <c r="F63" s="19"/>
      <c r="G63" s="19"/>
      <c r="H63" s="19"/>
      <c r="I63" s="19"/>
      <c r="J63" s="19"/>
    </row>
    <row r="64" spans="3:15">
      <c r="E64" s="329"/>
      <c r="H64" s="121"/>
    </row>
    <row r="65" spans="5:5">
      <c r="E65" s="121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="90" zoomScaleNormal="100" zoomScaleSheetLayoutView="90" workbookViewId="0">
      <selection activeCell="C2" sqref="C2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7" t="s">
        <v>60</v>
      </c>
      <c r="D6" s="393" t="s">
        <v>126</v>
      </c>
      <c r="E6" s="394"/>
      <c r="F6" s="381" t="s">
        <v>74</v>
      </c>
      <c r="G6" s="379" t="s">
        <v>127</v>
      </c>
      <c r="H6" s="380"/>
      <c r="I6" s="381" t="s">
        <v>74</v>
      </c>
      <c r="O6" s="47"/>
      <c r="P6" s="86"/>
      <c r="Q6" s="395" t="s">
        <v>116</v>
      </c>
      <c r="R6" s="395"/>
    </row>
    <row r="7" spans="3:19" ht="12.75" customHeight="1">
      <c r="C7" s="108"/>
      <c r="D7" s="109">
        <v>2021</v>
      </c>
      <c r="E7" s="95">
        <v>2022</v>
      </c>
      <c r="F7" s="382"/>
      <c r="G7" s="236">
        <v>2021</v>
      </c>
      <c r="H7" s="95">
        <v>2022</v>
      </c>
      <c r="I7" s="382"/>
      <c r="N7" s="54"/>
      <c r="O7" s="313">
        <v>2021</v>
      </c>
      <c r="P7" s="315">
        <v>2022</v>
      </c>
      <c r="Q7" s="54">
        <v>2020</v>
      </c>
      <c r="R7" s="54">
        <v>2021</v>
      </c>
    </row>
    <row r="8" spans="3:19" ht="20.100000000000001" customHeight="1">
      <c r="C8" s="116" t="s">
        <v>17</v>
      </c>
      <c r="D8" s="356">
        <v>3.9962</v>
      </c>
      <c r="E8" s="357">
        <v>3.1059160000000001</v>
      </c>
      <c r="F8" s="222">
        <f>+E8/D8-1</f>
        <v>-0.2227826435113357</v>
      </c>
      <c r="G8" s="353">
        <v>21.996568</v>
      </c>
      <c r="H8" s="344">
        <v>21.334316000000001</v>
      </c>
      <c r="I8" s="222">
        <f>+H8/G8-1</f>
        <v>-3.0107060337776326E-2</v>
      </c>
      <c r="J8" s="26"/>
      <c r="K8" s="46"/>
      <c r="L8" s="46"/>
      <c r="N8" s="57" t="s">
        <v>10</v>
      </c>
      <c r="O8" s="71">
        <f>SUM(D8,D13,D20,D21,D27,D29,D31)</f>
        <v>315.23638799999998</v>
      </c>
      <c r="P8" s="71">
        <f t="shared" ref="P8" si="0">SUM(E8,E13,E20,E21,E27,E29,E31)</f>
        <v>380.93493314999989</v>
      </c>
      <c r="Q8" s="71">
        <f>SUM(G8,G13,G20,G21,G27,G29,G31)</f>
        <v>1918.9742340000003</v>
      </c>
      <c r="R8" s="71">
        <f>SUM(H8,H13,H20,H21,H27,H29,H31)</f>
        <v>2067.6338510099995</v>
      </c>
    </row>
    <row r="9" spans="3:19" ht="20.100000000000001" customHeight="1">
      <c r="C9" s="117" t="s">
        <v>18</v>
      </c>
      <c r="D9" s="221">
        <v>138.82244100000003</v>
      </c>
      <c r="E9" s="281">
        <v>123.05841727250008</v>
      </c>
      <c r="F9" s="223">
        <f t="shared" ref="F9:F32" si="1">+E9/D9-1</f>
        <v>-0.11355529850897772</v>
      </c>
      <c r="G9" s="237">
        <v>1389.7144619999999</v>
      </c>
      <c r="H9" s="281">
        <v>1348.983014745</v>
      </c>
      <c r="I9" s="292">
        <f t="shared" ref="I9:I32" si="2">+H9/G9-1</f>
        <v>-2.9309220252613288E-2</v>
      </c>
      <c r="J9" s="26"/>
      <c r="K9" s="46"/>
      <c r="L9" s="46"/>
      <c r="N9" s="57" t="s">
        <v>9</v>
      </c>
      <c r="O9" s="313">
        <f>SUM(D9,D14,D16,D17,D19,D22,D26,D32)</f>
        <v>3834.1690239999998</v>
      </c>
      <c r="P9" s="313">
        <f>SUM(E9,E14,E16,E17,E19,E22,E26,E32)</f>
        <v>3920.423139316646</v>
      </c>
      <c r="Q9" s="313">
        <f>SUM(G9,G14,G16,G17,G19,G22,G26,G32)</f>
        <v>22554.064264000001</v>
      </c>
      <c r="R9" s="313">
        <f>SUM(H9,H14,H16,H17,H19,H22,H26,H32)</f>
        <v>23296.853492775965</v>
      </c>
    </row>
    <row r="10" spans="3:19" ht="20.100000000000001" customHeight="1">
      <c r="C10" s="118" t="s">
        <v>19</v>
      </c>
      <c r="D10" s="342">
        <v>3.3267329999999991</v>
      </c>
      <c r="E10" s="308">
        <v>4.3523930629999992</v>
      </c>
      <c r="F10" s="223">
        <f t="shared" si="1"/>
        <v>0.30830850056196279</v>
      </c>
      <c r="G10" s="237">
        <v>25.783542999999998</v>
      </c>
      <c r="H10" s="281">
        <v>27.614358377999999</v>
      </c>
      <c r="I10" s="223">
        <f t="shared" si="2"/>
        <v>7.1007129547711934E-2</v>
      </c>
      <c r="J10" s="26"/>
      <c r="K10" s="46"/>
      <c r="L10" s="46"/>
      <c r="N10" s="54" t="s">
        <v>12</v>
      </c>
      <c r="O10" s="313">
        <f>SUM(D10,D11,D12,D15,D18,D24,D25,D28,D30)</f>
        <v>516.60087500000009</v>
      </c>
      <c r="P10" s="313">
        <f t="shared" ref="P10" si="3">SUM(E10,E11,E12,E15,E18,E24,E25,E28,E30)</f>
        <v>498.2526272018103</v>
      </c>
      <c r="Q10" s="313">
        <f>SUM(G10,G11,G12,G15,G18,G24,G25,G28,G30)</f>
        <v>3719.6017450000004</v>
      </c>
      <c r="R10" s="313">
        <f>SUM(H10,H11,H12,H15,H18,H24,H25,H28,H30)</f>
        <v>3635.6070174393099</v>
      </c>
    </row>
    <row r="11" spans="3:19" ht="20.100000000000001" customHeight="1">
      <c r="C11" s="117" t="s">
        <v>20</v>
      </c>
      <c r="D11" s="342">
        <v>89.128804000000002</v>
      </c>
      <c r="E11" s="308">
        <v>88.936279127499944</v>
      </c>
      <c r="F11" s="339">
        <f t="shared" si="1"/>
        <v>-2.1600746768694057E-3</v>
      </c>
      <c r="G11" s="237">
        <v>625.917055</v>
      </c>
      <c r="H11" s="281">
        <v>566.29213987000003</v>
      </c>
      <c r="I11" s="223">
        <f t="shared" si="2"/>
        <v>-9.5260090220740112E-2</v>
      </c>
      <c r="J11" s="26"/>
      <c r="K11" s="46"/>
      <c r="L11" s="46"/>
      <c r="N11" s="314" t="s">
        <v>11</v>
      </c>
      <c r="O11" s="71">
        <f>D23</f>
        <v>33.234997</v>
      </c>
      <c r="P11" s="71">
        <f t="shared" ref="P11" si="4">E23</f>
        <v>34.095515800000001</v>
      </c>
      <c r="Q11" s="71">
        <f>G23</f>
        <v>199.63694700000002</v>
      </c>
      <c r="R11" s="71">
        <f>H23</f>
        <v>206.17131879999997</v>
      </c>
    </row>
    <row r="12" spans="3:19" ht="20.100000000000001" customHeight="1">
      <c r="C12" s="117" t="s">
        <v>21</v>
      </c>
      <c r="D12" s="342">
        <v>0.69203900000000007</v>
      </c>
      <c r="E12" s="308">
        <v>0.90845353333333345</v>
      </c>
      <c r="F12" s="223">
        <f t="shared" si="1"/>
        <v>0.31272014053157893</v>
      </c>
      <c r="G12" s="341">
        <v>5.3915560000000005</v>
      </c>
      <c r="H12" s="308">
        <v>5.516509533333334</v>
      </c>
      <c r="I12" s="223">
        <f t="shared" si="2"/>
        <v>2.3175783268009065E-2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7" t="s">
        <v>22</v>
      </c>
      <c r="D13" s="221">
        <v>129.55514099999999</v>
      </c>
      <c r="E13" s="281">
        <v>127.48188497499999</v>
      </c>
      <c r="F13" s="223">
        <f t="shared" si="1"/>
        <v>-1.6002885018665536E-2</v>
      </c>
      <c r="G13" s="237">
        <v>796.2835</v>
      </c>
      <c r="H13" s="281">
        <v>841.60684325249986</v>
      </c>
      <c r="I13" s="223">
        <f t="shared" si="2"/>
        <v>5.6918601543922254E-2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7" t="s">
        <v>59</v>
      </c>
      <c r="D14" s="221">
        <v>280.26617200000004</v>
      </c>
      <c r="E14" s="281">
        <v>327.91298480250009</v>
      </c>
      <c r="F14" s="223">
        <f t="shared" si="1"/>
        <v>0.17000557884845291</v>
      </c>
      <c r="G14" s="237">
        <v>1201.1655230000001</v>
      </c>
      <c r="H14" s="281">
        <v>1456.3611862275002</v>
      </c>
      <c r="I14" s="223">
        <f t="shared" si="2"/>
        <v>0.21245670004757544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7" t="s">
        <v>23</v>
      </c>
      <c r="D15" s="221">
        <v>167.635143</v>
      </c>
      <c r="E15" s="281">
        <v>182.80663609250001</v>
      </c>
      <c r="F15" s="223">
        <f t="shared" si="1"/>
        <v>9.0503058135608327E-2</v>
      </c>
      <c r="G15" s="237">
        <v>1145.446248</v>
      </c>
      <c r="H15" s="281">
        <v>1154.3978987425</v>
      </c>
      <c r="I15" s="339">
        <f t="shared" si="2"/>
        <v>7.8149897981945049E-3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7" t="s">
        <v>24</v>
      </c>
      <c r="D16" s="221">
        <v>793.3028149999999</v>
      </c>
      <c r="E16" s="281">
        <v>801.42975188000059</v>
      </c>
      <c r="F16" s="223">
        <f t="shared" si="1"/>
        <v>1.0244432171844453E-2</v>
      </c>
      <c r="G16" s="237">
        <v>5478.5930179999996</v>
      </c>
      <c r="H16" s="281">
        <v>5326.3375196200004</v>
      </c>
      <c r="I16" s="292">
        <f t="shared" si="2"/>
        <v>-2.7790985364264387E-2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7" t="s">
        <v>25</v>
      </c>
      <c r="D17" s="221">
        <v>117.26360099999999</v>
      </c>
      <c r="E17" s="281">
        <v>122.97127124916673</v>
      </c>
      <c r="F17" s="223">
        <f t="shared" si="1"/>
        <v>4.8673844232079544E-2</v>
      </c>
      <c r="G17" s="237">
        <v>1550.4223270000002</v>
      </c>
      <c r="H17" s="281">
        <v>1496.3961038041664</v>
      </c>
      <c r="I17" s="292">
        <f t="shared" si="2"/>
        <v>-3.4846133376041033E-2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7" t="s">
        <v>26</v>
      </c>
      <c r="D18" s="221">
        <v>133.07682700000001</v>
      </c>
      <c r="E18" s="281">
        <v>96.389676245000018</v>
      </c>
      <c r="F18" s="223">
        <f t="shared" si="1"/>
        <v>-0.27568399083485806</v>
      </c>
      <c r="G18" s="237">
        <v>842.49383799999998</v>
      </c>
      <c r="H18" s="281">
        <v>836.876974045</v>
      </c>
      <c r="I18" s="223">
        <f t="shared" si="2"/>
        <v>-6.6669495985085536E-3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7" t="s">
        <v>27</v>
      </c>
      <c r="D19" s="221">
        <v>227.00513399999997</v>
      </c>
      <c r="E19" s="281">
        <v>252.28472775999981</v>
      </c>
      <c r="F19" s="223">
        <f t="shared" si="1"/>
        <v>0.11136133053272634</v>
      </c>
      <c r="G19" s="237">
        <v>1744.3085469999999</v>
      </c>
      <c r="H19" s="281">
        <v>1891.2564619899997</v>
      </c>
      <c r="I19" s="292">
        <f t="shared" si="2"/>
        <v>8.424422115154595E-2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7" t="s">
        <v>28</v>
      </c>
      <c r="D20" s="221">
        <v>45.538254999999999</v>
      </c>
      <c r="E20" s="281">
        <v>95.210006849999971</v>
      </c>
      <c r="F20" s="292">
        <f t="shared" si="1"/>
        <v>1.0907697681872079</v>
      </c>
      <c r="G20" s="237">
        <v>322.78381200000001</v>
      </c>
      <c r="H20" s="281">
        <v>382.28763294999999</v>
      </c>
      <c r="I20" s="223">
        <f t="shared" si="2"/>
        <v>0.18434574082668043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7" t="s">
        <v>29</v>
      </c>
      <c r="D21" s="342">
        <v>5.389495000000001</v>
      </c>
      <c r="E21" s="308">
        <v>5.0828975800000009</v>
      </c>
      <c r="F21" s="223">
        <f t="shared" si="1"/>
        <v>-5.6887968167704028E-2</v>
      </c>
      <c r="G21" s="237">
        <v>31.172720000000002</v>
      </c>
      <c r="H21" s="281">
        <v>30.344533490000007</v>
      </c>
      <c r="I21" s="223">
        <f t="shared" si="2"/>
        <v>-2.6567669102984803E-2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7" t="s">
        <v>30</v>
      </c>
      <c r="D22" s="221">
        <v>2205.7688989999997</v>
      </c>
      <c r="E22" s="281">
        <v>2194.4823089524784</v>
      </c>
      <c r="F22" s="223">
        <f t="shared" si="1"/>
        <v>-5.1168506603924691E-3</v>
      </c>
      <c r="G22" s="237">
        <v>10610.907348000001</v>
      </c>
      <c r="H22" s="281">
        <v>11191.356396999297</v>
      </c>
      <c r="I22" s="223">
        <f t="shared" si="2"/>
        <v>5.4703055069904361E-2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7" t="s">
        <v>31</v>
      </c>
      <c r="D23" s="221">
        <v>33.234997</v>
      </c>
      <c r="E23" s="281">
        <v>34.095515800000001</v>
      </c>
      <c r="F23" s="223">
        <f t="shared" si="1"/>
        <v>2.5891947575623409E-2</v>
      </c>
      <c r="G23" s="237">
        <v>199.63694700000002</v>
      </c>
      <c r="H23" s="281">
        <v>206.17131879999997</v>
      </c>
      <c r="I23" s="223">
        <f t="shared" si="2"/>
        <v>3.2731274937799704E-2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7" t="s">
        <v>32</v>
      </c>
      <c r="D24" s="342">
        <v>0.47464000000000006</v>
      </c>
      <c r="E24" s="308">
        <v>9.7051492000000017E-2</v>
      </c>
      <c r="F24" s="223">
        <f t="shared" si="1"/>
        <v>-0.79552609978088662</v>
      </c>
      <c r="G24" s="341">
        <v>1.0708150000000001</v>
      </c>
      <c r="H24" s="308">
        <v>0.71155804700000003</v>
      </c>
      <c r="I24" s="292">
        <f t="shared" si="2"/>
        <v>-0.33549861834210393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7" t="s">
        <v>33</v>
      </c>
      <c r="D25" s="221">
        <v>49.174547999999994</v>
      </c>
      <c r="E25" s="281">
        <v>51.319964648476947</v>
      </c>
      <c r="F25" s="223">
        <f t="shared" si="1"/>
        <v>4.3628599259864176E-2</v>
      </c>
      <c r="G25" s="237">
        <v>349.80845500000004</v>
      </c>
      <c r="H25" s="281">
        <v>336.07172379597682</v>
      </c>
      <c r="I25" s="223">
        <f t="shared" si="2"/>
        <v>-3.9269294402913157E-2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7" t="s">
        <v>34</v>
      </c>
      <c r="D26" s="221">
        <v>47.822825999999992</v>
      </c>
      <c r="E26" s="281">
        <v>62.895434115000008</v>
      </c>
      <c r="F26" s="223">
        <f t="shared" si="1"/>
        <v>0.31517602316099058</v>
      </c>
      <c r="G26" s="237">
        <v>497.78028399999999</v>
      </c>
      <c r="H26" s="281">
        <v>502.53297413750005</v>
      </c>
      <c r="I26" s="223">
        <f t="shared" si="2"/>
        <v>9.5477669370691576E-3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7" t="s">
        <v>35</v>
      </c>
      <c r="D27" s="221">
        <v>125.26952300000001</v>
      </c>
      <c r="E27" s="281">
        <v>143.95767124499994</v>
      </c>
      <c r="F27" s="223">
        <f t="shared" si="1"/>
        <v>0.14918351884360526</v>
      </c>
      <c r="G27" s="237">
        <v>713.62692700000002</v>
      </c>
      <c r="H27" s="281">
        <v>757.18212081750005</v>
      </c>
      <c r="I27" s="223">
        <f t="shared" si="2"/>
        <v>6.10335627336831E-2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7" t="s">
        <v>36</v>
      </c>
      <c r="D28" s="221">
        <v>63.618679999999998</v>
      </c>
      <c r="E28" s="281">
        <v>63.22945331999999</v>
      </c>
      <c r="F28" s="223">
        <f t="shared" si="1"/>
        <v>-6.118119395121191E-3</v>
      </c>
      <c r="G28" s="237">
        <v>646.03495300000009</v>
      </c>
      <c r="H28" s="281">
        <v>631.84198306250005</v>
      </c>
      <c r="I28" s="339">
        <f t="shared" si="2"/>
        <v>-2.1969353007282311E-2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7" t="s">
        <v>37</v>
      </c>
      <c r="D29" s="221">
        <v>4.3872260000000001</v>
      </c>
      <c r="E29" s="281">
        <v>4.9960085000000003</v>
      </c>
      <c r="F29" s="223">
        <f t="shared" si="1"/>
        <v>0.13876251189248068</v>
      </c>
      <c r="G29" s="237">
        <v>26.507418999999999</v>
      </c>
      <c r="H29" s="281">
        <v>28.275116499999996</v>
      </c>
      <c r="I29" s="292">
        <f t="shared" si="2"/>
        <v>6.6686896223279835E-2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7" t="s">
        <v>38</v>
      </c>
      <c r="D30" s="221">
        <v>9.4734609999999986</v>
      </c>
      <c r="E30" s="281">
        <v>10.212719679999998</v>
      </c>
      <c r="F30" s="292">
        <f t="shared" si="1"/>
        <v>7.8034699250886241E-2</v>
      </c>
      <c r="G30" s="237">
        <v>77.655281999999985</v>
      </c>
      <c r="H30" s="281">
        <v>76.283871965000003</v>
      </c>
      <c r="I30" s="223">
        <f t="shared" si="2"/>
        <v>-1.7660228637119357E-2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7" t="s">
        <v>39</v>
      </c>
      <c r="D31" s="221">
        <v>1.1005480000000001</v>
      </c>
      <c r="E31" s="281">
        <v>1.1005480000000001</v>
      </c>
      <c r="F31" s="292">
        <f>+E31/D31-1</f>
        <v>0</v>
      </c>
      <c r="G31" s="237">
        <v>6.6032879999999992</v>
      </c>
      <c r="H31" s="281">
        <v>6.6032879999999992</v>
      </c>
      <c r="I31" s="223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19" t="s">
        <v>40</v>
      </c>
      <c r="D32" s="215">
        <v>23.917135999999996</v>
      </c>
      <c r="E32" s="282">
        <v>35.388243284999994</v>
      </c>
      <c r="F32" s="224">
        <f t="shared" si="1"/>
        <v>0.47961876727213504</v>
      </c>
      <c r="G32" s="238">
        <v>81.172755000000009</v>
      </c>
      <c r="H32" s="282">
        <v>83.629835252499987</v>
      </c>
      <c r="I32" s="224">
        <f t="shared" si="2"/>
        <v>3.0269765421907513E-2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25" t="s">
        <v>108</v>
      </c>
      <c r="D33" s="110">
        <f>SUM(D8:D32)</f>
        <v>4699.2412839999988</v>
      </c>
      <c r="E33" s="283">
        <f>SUM(E8:E32)</f>
        <v>4833.7062154684563</v>
      </c>
      <c r="F33" s="115">
        <f>+E33/D33-1</f>
        <v>2.8614179043388255E-2</v>
      </c>
      <c r="G33" s="239">
        <f>SUM(G8:G32)</f>
        <v>28392.277189999997</v>
      </c>
      <c r="H33" s="283">
        <f>SUM(H8:H32)</f>
        <v>29206.26568002527</v>
      </c>
      <c r="I33" s="240">
        <f>+H33/G33-1</f>
        <v>2.8669362607940618E-2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2194.4823089524784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801.42975188000059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327.91298480250009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252.28472775999981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182.80663609250001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143.95767124499994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22</v>
      </c>
      <c r="O50" s="52">
        <v>127.48188497499999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18</v>
      </c>
      <c r="O51" s="53">
        <v>123.05841727250008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25</v>
      </c>
      <c r="O52" s="53">
        <v>122.97127124916673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96.389676245000018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95.210006849999971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20</v>
      </c>
      <c r="O55" s="52">
        <v>88.936279127499944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36</v>
      </c>
      <c r="O56" s="53">
        <v>63.22945331999999</v>
      </c>
      <c r="P56" s="8"/>
      <c r="S56" s="91"/>
    </row>
    <row r="57" spans="3:19">
      <c r="N57" s="51" t="s">
        <v>34</v>
      </c>
      <c r="O57" s="52">
        <v>62.895434115000008</v>
      </c>
      <c r="S57" s="91"/>
    </row>
    <row r="58" spans="3:19">
      <c r="N58" s="51" t="s">
        <v>33</v>
      </c>
      <c r="O58" s="52">
        <v>51.319964648476947</v>
      </c>
      <c r="S58" s="91"/>
    </row>
    <row r="59" spans="3:19">
      <c r="N59" s="51" t="s">
        <v>40</v>
      </c>
      <c r="O59" s="52">
        <v>35.388243284999994</v>
      </c>
      <c r="S59" s="91"/>
    </row>
    <row r="60" spans="3:19">
      <c r="N60" s="51" t="s">
        <v>31</v>
      </c>
      <c r="O60" s="52">
        <v>34.095515800000001</v>
      </c>
      <c r="S60" s="91"/>
    </row>
    <row r="61" spans="3:19">
      <c r="N61" s="51" t="s">
        <v>38</v>
      </c>
      <c r="O61" s="52">
        <v>10.212719679999998</v>
      </c>
      <c r="S61" s="91"/>
    </row>
    <row r="62" spans="3:19">
      <c r="N62" s="51" t="s">
        <v>29</v>
      </c>
      <c r="O62" s="52">
        <v>5.0828975800000009</v>
      </c>
      <c r="S62" s="91"/>
    </row>
    <row r="63" spans="3:19">
      <c r="N63" s="50" t="s">
        <v>37</v>
      </c>
      <c r="O63" s="53">
        <v>4.9960085000000003</v>
      </c>
      <c r="S63" s="91"/>
    </row>
    <row r="64" spans="3:19">
      <c r="N64" s="50" t="s">
        <v>19</v>
      </c>
      <c r="O64" s="53">
        <v>4.3523930629999992</v>
      </c>
      <c r="S64" s="91"/>
    </row>
    <row r="65" spans="6:19">
      <c r="N65" s="50" t="s">
        <v>17</v>
      </c>
      <c r="O65" s="53">
        <v>3.1059160000000001</v>
      </c>
      <c r="S65" s="120"/>
    </row>
    <row r="66" spans="6:19">
      <c r="N66" s="50" t="s">
        <v>39</v>
      </c>
      <c r="O66" s="53">
        <v>1.1005480000000001</v>
      </c>
      <c r="S66" s="91"/>
    </row>
    <row r="67" spans="6:19">
      <c r="N67" s="51" t="s">
        <v>21</v>
      </c>
      <c r="O67" s="52">
        <v>0.90845353333333345</v>
      </c>
      <c r="S67" s="91"/>
    </row>
    <row r="68" spans="6:19">
      <c r="N68" s="9" t="s">
        <v>32</v>
      </c>
      <c r="O68" s="52">
        <v>9.7051492000000017E-2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2022-07-18T14:53:46Z</dcterms:modified>
</cp:coreProperties>
</file>